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/>
  <mc:AlternateContent xmlns:mc="http://schemas.openxmlformats.org/markup-compatibility/2006">
    <mc:Choice Requires="x15">
      <x15ac:absPath xmlns:x15ac="http://schemas.microsoft.com/office/spreadsheetml/2010/11/ac" url="C:\Users\pavla\AppData\Local\Temp\Rar$DIa4180.41808\"/>
    </mc:Choice>
  </mc:AlternateContent>
  <xr:revisionPtr revIDLastSave="0" documentId="13_ncr:1_{24159309-753C-43BA-859C-C3D91259FFB9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Kalkulace" sheetId="8" r:id="rId1"/>
  </sheets>
  <definedNames>
    <definedName name="_xlnm.Print_Titles" localSheetId="0">Kalkulace!$24:$25</definedName>
    <definedName name="_xlnm.Print_Area" localSheetId="0">Kalkulace!$A$1:$L$493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55" i="8" l="1"/>
  <c r="J353" i="8"/>
  <c r="J351" i="8"/>
  <c r="J349" i="8"/>
  <c r="J347" i="8"/>
  <c r="J345" i="8"/>
  <c r="K343" i="8" l="1"/>
  <c r="K338" i="8"/>
  <c r="K336" i="8"/>
  <c r="K335" i="8"/>
  <c r="K304" i="8"/>
  <c r="K296" i="8"/>
  <c r="K250" i="8"/>
  <c r="K249" i="8"/>
  <c r="K237" i="8"/>
  <c r="K215" i="8"/>
  <c r="K214" i="8"/>
  <c r="K213" i="8"/>
  <c r="K208" i="8"/>
  <c r="D423" i="8" l="1"/>
  <c r="D424" i="8"/>
  <c r="D425" i="8"/>
  <c r="D421" i="8"/>
  <c r="D403" i="8"/>
  <c r="D404" i="8"/>
  <c r="D405" i="8"/>
  <c r="D406" i="8"/>
  <c r="D407" i="8"/>
  <c r="D408" i="8"/>
  <c r="D409" i="8"/>
  <c r="D383" i="8"/>
  <c r="J383" i="8" l="1"/>
  <c r="K383" i="8"/>
  <c r="D353" i="8"/>
  <c r="D351" i="8"/>
  <c r="D349" i="8"/>
  <c r="D347" i="8"/>
  <c r="D345" i="8"/>
  <c r="E340" i="8"/>
  <c r="D339" i="8"/>
  <c r="E358" i="8"/>
  <c r="D315" i="8"/>
  <c r="D314" i="8"/>
  <c r="D330" i="8"/>
  <c r="D312" i="8"/>
  <c r="D313" i="8"/>
  <c r="D316" i="8"/>
  <c r="D310" i="8"/>
  <c r="D308" i="8"/>
  <c r="D311" i="8"/>
  <c r="E317" i="8"/>
  <c r="D309" i="8"/>
  <c r="D298" i="8"/>
  <c r="D295" i="8"/>
  <c r="D305" i="8"/>
  <c r="E305" i="8"/>
  <c r="F304" i="8"/>
  <c r="D370" i="8"/>
  <c r="D367" i="8"/>
  <c r="D368" i="8"/>
  <c r="D283" i="8"/>
  <c r="D280" i="8"/>
  <c r="D344" i="8"/>
  <c r="D286" i="8"/>
  <c r="D294" i="8"/>
  <c r="D292" i="8"/>
  <c r="D289" i="8"/>
  <c r="D282" i="8"/>
  <c r="D293" i="8"/>
  <c r="D284" i="8"/>
  <c r="D287" i="8"/>
  <c r="D290" i="8"/>
  <c r="F296" i="8"/>
  <c r="D288" i="8"/>
  <c r="D279" i="8"/>
  <c r="D364" i="8"/>
  <c r="D363" i="8"/>
  <c r="D361" i="8"/>
  <c r="D360" i="8"/>
  <c r="D281" i="8"/>
  <c r="D285" i="8"/>
  <c r="D297" i="8"/>
  <c r="D291" i="8"/>
  <c r="L383" i="8" l="1"/>
  <c r="K364" i="8"/>
  <c r="K360" i="8"/>
  <c r="K287" i="8"/>
  <c r="K289" i="8"/>
  <c r="K344" i="8"/>
  <c r="K305" i="8"/>
  <c r="K314" i="8"/>
  <c r="K311" i="8"/>
  <c r="K313" i="8"/>
  <c r="K361" i="8"/>
  <c r="K288" i="8"/>
  <c r="K284" i="8"/>
  <c r="K285" i="8"/>
  <c r="K363" i="8"/>
  <c r="K283" i="8"/>
  <c r="K298" i="8"/>
  <c r="K312" i="8"/>
  <c r="K286" i="8"/>
  <c r="F368" i="8"/>
  <c r="F291" i="8"/>
  <c r="K291" i="8"/>
  <c r="D318" i="8"/>
  <c r="K316" i="8"/>
  <c r="F297" i="8"/>
  <c r="K297" i="8"/>
  <c r="F292" i="8"/>
  <c r="K292" i="8"/>
  <c r="F370" i="8"/>
  <c r="K370" i="8"/>
  <c r="F295" i="8"/>
  <c r="K295" i="8"/>
  <c r="D317" i="8"/>
  <c r="K315" i="8"/>
  <c r="F293" i="8"/>
  <c r="K293" i="8"/>
  <c r="F294" i="8"/>
  <c r="K294" i="8"/>
  <c r="F290" i="8"/>
  <c r="K290" i="8"/>
  <c r="F330" i="8"/>
  <c r="K330" i="8"/>
  <c r="F339" i="8"/>
  <c r="K339" i="8"/>
  <c r="D340" i="8"/>
  <c r="D341" i="8"/>
  <c r="F316" i="8"/>
  <c r="J339" i="8"/>
  <c r="D332" i="8"/>
  <c r="D333" i="8"/>
  <c r="D334" i="8"/>
  <c r="J330" i="8"/>
  <c r="J316" i="8"/>
  <c r="F315" i="8"/>
  <c r="J317" i="8"/>
  <c r="J363" i="8"/>
  <c r="J315" i="8"/>
  <c r="J293" i="8"/>
  <c r="J298" i="8"/>
  <c r="F298" i="8"/>
  <c r="J295" i="8"/>
  <c r="F305" i="8"/>
  <c r="J305" i="8"/>
  <c r="J304" i="8"/>
  <c r="L304" i="8" s="1"/>
  <c r="J370" i="8"/>
  <c r="F367" i="8"/>
  <c r="K367" i="8"/>
  <c r="J367" i="8"/>
  <c r="K368" i="8"/>
  <c r="J368" i="8"/>
  <c r="J294" i="8"/>
  <c r="J292" i="8"/>
  <c r="L292" i="8" s="1"/>
  <c r="J290" i="8"/>
  <c r="J296" i="8"/>
  <c r="L296" i="8" s="1"/>
  <c r="J364" i="8"/>
  <c r="L364" i="8" s="1"/>
  <c r="F364" i="8"/>
  <c r="J361" i="8"/>
  <c r="F363" i="8"/>
  <c r="F361" i="8"/>
  <c r="F360" i="8"/>
  <c r="J360" i="8"/>
  <c r="J297" i="8"/>
  <c r="L297" i="8" s="1"/>
  <c r="J291" i="8"/>
  <c r="L291" i="8" s="1"/>
  <c r="L370" i="8" l="1"/>
  <c r="L315" i="8"/>
  <c r="L360" i="8"/>
  <c r="J318" i="8"/>
  <c r="J340" i="8"/>
  <c r="F317" i="8"/>
  <c r="L361" i="8"/>
  <c r="L294" i="8"/>
  <c r="L305" i="8"/>
  <c r="L363" i="8"/>
  <c r="L298" i="8"/>
  <c r="L330" i="8"/>
  <c r="F340" i="8"/>
  <c r="K317" i="8"/>
  <c r="L317" i="8" s="1"/>
  <c r="F333" i="8"/>
  <c r="K333" i="8"/>
  <c r="L316" i="8"/>
  <c r="F332" i="8"/>
  <c r="K332" i="8"/>
  <c r="F341" i="8"/>
  <c r="K341" i="8"/>
  <c r="F318" i="8"/>
  <c r="K318" i="8"/>
  <c r="L293" i="8"/>
  <c r="L339" i="8"/>
  <c r="L290" i="8"/>
  <c r="L295" i="8"/>
  <c r="F334" i="8"/>
  <c r="K334" i="8"/>
  <c r="D342" i="8"/>
  <c r="K340" i="8"/>
  <c r="L340" i="8" s="1"/>
  <c r="J341" i="8"/>
  <c r="L341" i="8" s="1"/>
  <c r="J334" i="8"/>
  <c r="J332" i="8"/>
  <c r="J333" i="8"/>
  <c r="L368" i="8"/>
  <c r="L367" i="8"/>
  <c r="L333" i="8" l="1"/>
  <c r="L332" i="8"/>
  <c r="J342" i="8"/>
  <c r="L318" i="8"/>
  <c r="L334" i="8"/>
  <c r="F342" i="8"/>
  <c r="K342" i="8"/>
  <c r="L342" i="8" s="1"/>
  <c r="D327" i="8"/>
  <c r="D328" i="8"/>
  <c r="E328" i="8"/>
  <c r="D325" i="8"/>
  <c r="E326" i="8"/>
  <c r="D350" i="8"/>
  <c r="F344" i="8"/>
  <c r="F288" i="8"/>
  <c r="F287" i="8"/>
  <c r="F284" i="8"/>
  <c r="F283" i="8"/>
  <c r="D299" i="8"/>
  <c r="E279" i="8"/>
  <c r="D301" i="8"/>
  <c r="D300" i="8"/>
  <c r="D302" i="8"/>
  <c r="K301" i="8" l="1"/>
  <c r="K302" i="8"/>
  <c r="F327" i="8"/>
  <c r="K300" i="8"/>
  <c r="F328" i="8"/>
  <c r="D326" i="8"/>
  <c r="F326" i="8" s="1"/>
  <c r="K325" i="8"/>
  <c r="F299" i="8"/>
  <c r="K299" i="8"/>
  <c r="F350" i="8"/>
  <c r="K350" i="8"/>
  <c r="F325" i="8"/>
  <c r="J327" i="8"/>
  <c r="K327" i="8"/>
  <c r="K328" i="8"/>
  <c r="J328" i="8"/>
  <c r="L328" i="8" s="1"/>
  <c r="J325" i="8"/>
  <c r="J350" i="8"/>
  <c r="J344" i="8"/>
  <c r="L344" i="8" s="1"/>
  <c r="F279" i="8"/>
  <c r="J288" i="8"/>
  <c r="L288" i="8" s="1"/>
  <c r="J287" i="8"/>
  <c r="L287" i="8" s="1"/>
  <c r="J284" i="8"/>
  <c r="L284" i="8" s="1"/>
  <c r="J283" i="8"/>
  <c r="L283" i="8" s="1"/>
  <c r="J279" i="8"/>
  <c r="J299" i="8"/>
  <c r="K279" i="8"/>
  <c r="L350" i="8" l="1"/>
  <c r="L325" i="8"/>
  <c r="J326" i="8"/>
  <c r="K326" i="8"/>
  <c r="L299" i="8"/>
  <c r="L327" i="8"/>
  <c r="L279" i="8"/>
  <c r="L326" i="8" l="1"/>
  <c r="D273" i="8"/>
  <c r="D267" i="8"/>
  <c r="D266" i="8"/>
  <c r="D276" i="8"/>
  <c r="D275" i="8"/>
  <c r="D274" i="8"/>
  <c r="D269" i="8"/>
  <c r="D268" i="8"/>
  <c r="E268" i="8"/>
  <c r="D270" i="8"/>
  <c r="D271" i="8"/>
  <c r="D272" i="8"/>
  <c r="D265" i="8"/>
  <c r="D264" i="8"/>
  <c r="K272" i="8" l="1"/>
  <c r="K271" i="8"/>
  <c r="F272" i="8"/>
  <c r="F270" i="8"/>
  <c r="K270" i="8"/>
  <c r="F268" i="8"/>
  <c r="J268" i="8"/>
  <c r="K268" i="8"/>
  <c r="J270" i="8"/>
  <c r="L270" i="8" s="1"/>
  <c r="J272" i="8"/>
  <c r="L272" i="8" s="1"/>
  <c r="F264" i="8"/>
  <c r="K264" i="8"/>
  <c r="L268" i="8" l="1"/>
  <c r="J264" i="8"/>
  <c r="L264" i="8" s="1"/>
  <c r="D259" i="8" l="1"/>
  <c r="D261" i="8"/>
  <c r="D258" i="8"/>
  <c r="J258" i="8" s="1"/>
  <c r="D257" i="8"/>
  <c r="D256" i="8"/>
  <c r="D255" i="8"/>
  <c r="E258" i="8"/>
  <c r="D260" i="8" l="1"/>
  <c r="F258" i="8"/>
  <c r="K258" i="8"/>
  <c r="L258" i="8" s="1"/>
  <c r="F257" i="8"/>
  <c r="K257" i="8"/>
  <c r="D230" i="8"/>
  <c r="D221" i="8"/>
  <c r="D240" i="8"/>
  <c r="D227" i="8"/>
  <c r="D218" i="8"/>
  <c r="D235" i="8"/>
  <c r="E235" i="8"/>
  <c r="D236" i="8"/>
  <c r="E236" i="8"/>
  <c r="D239" i="8"/>
  <c r="E239" i="8"/>
  <c r="K236" i="8" l="1"/>
  <c r="K235" i="8"/>
  <c r="F236" i="8"/>
  <c r="J257" i="8"/>
  <c r="L257" i="8" s="1"/>
  <c r="F235" i="8"/>
  <c r="J235" i="8"/>
  <c r="J236" i="8"/>
  <c r="K239" i="8"/>
  <c r="F239" i="8"/>
  <c r="J239" i="8"/>
  <c r="L235" i="8" l="1"/>
  <c r="L236" i="8"/>
  <c r="L239" i="8"/>
  <c r="D228" i="8" l="1"/>
  <c r="D219" i="8"/>
  <c r="D231" i="8"/>
  <c r="D222" i="8"/>
  <c r="D242" i="8"/>
  <c r="D234" i="8"/>
  <c r="D233" i="8"/>
  <c r="D225" i="8"/>
  <c r="F249" i="8"/>
  <c r="D229" i="8"/>
  <c r="D252" i="8"/>
  <c r="D251" i="8"/>
  <c r="D246" i="8"/>
  <c r="D224" i="8"/>
  <c r="D220" i="8"/>
  <c r="D244" i="8"/>
  <c r="D186" i="8"/>
  <c r="D176" i="8"/>
  <c r="D248" i="8"/>
  <c r="D226" i="8"/>
  <c r="D243" i="8"/>
  <c r="D232" i="8"/>
  <c r="D223" i="8"/>
  <c r="J237" i="8"/>
  <c r="L237" i="8" s="1"/>
  <c r="E237" i="8"/>
  <c r="F237" i="8" s="1"/>
  <c r="D241" i="8"/>
  <c r="D238" i="8"/>
  <c r="D245" i="8"/>
  <c r="D247" i="8"/>
  <c r="D180" i="8"/>
  <c r="D183" i="8"/>
  <c r="D182" i="8"/>
  <c r="D181" i="8"/>
  <c r="D179" i="8"/>
  <c r="D178" i="8"/>
  <c r="D174" i="8"/>
  <c r="K244" i="8" l="1"/>
  <c r="K251" i="8"/>
  <c r="K238" i="8"/>
  <c r="K248" i="8"/>
  <c r="K252" i="8"/>
  <c r="K245" i="8"/>
  <c r="K247" i="8"/>
  <c r="K246" i="8"/>
  <c r="D417" i="8"/>
  <c r="J249" i="8"/>
  <c r="L249" i="8" s="1"/>
  <c r="D444" i="8"/>
  <c r="D445" i="8"/>
  <c r="D449" i="8"/>
  <c r="D448" i="8"/>
  <c r="J458" i="8"/>
  <c r="J459" i="8"/>
  <c r="F459" i="8"/>
  <c r="F458" i="8"/>
  <c r="D187" i="8"/>
  <c r="D194" i="8"/>
  <c r="D188" i="8"/>
  <c r="D195" i="8"/>
  <c r="D210" i="8"/>
  <c r="D175" i="8"/>
  <c r="D200" i="8"/>
  <c r="E200" i="8"/>
  <c r="D177" i="8"/>
  <c r="D212" i="8"/>
  <c r="D199" i="8"/>
  <c r="E199" i="8"/>
  <c r="D184" i="8"/>
  <c r="D193" i="8"/>
  <c r="E193" i="8"/>
  <c r="D185" i="8"/>
  <c r="D207" i="8"/>
  <c r="D202" i="8"/>
  <c r="D190" i="8"/>
  <c r="D189" i="8"/>
  <c r="K207" i="8" l="1"/>
  <c r="K210" i="8"/>
  <c r="D454" i="8"/>
  <c r="K195" i="8"/>
  <c r="K199" i="8"/>
  <c r="K417" i="8"/>
  <c r="K212" i="8"/>
  <c r="K194" i="8"/>
  <c r="D455" i="8"/>
  <c r="E415" i="8"/>
  <c r="D416" i="8"/>
  <c r="K459" i="8"/>
  <c r="L459" i="8" s="1"/>
  <c r="K458" i="8"/>
  <c r="L458" i="8" s="1"/>
  <c r="K193" i="8"/>
  <c r="F200" i="8"/>
  <c r="F199" i="8"/>
  <c r="J200" i="8"/>
  <c r="F193" i="8"/>
  <c r="K200" i="8"/>
  <c r="J199" i="8"/>
  <c r="L199" i="8" s="1"/>
  <c r="F184" i="8"/>
  <c r="K184" i="8"/>
  <c r="J193" i="8"/>
  <c r="D209" i="8"/>
  <c r="D196" i="8"/>
  <c r="D192" i="8"/>
  <c r="E192" i="8"/>
  <c r="D205" i="8"/>
  <c r="E205" i="8"/>
  <c r="D201" i="8"/>
  <c r="E201" i="8"/>
  <c r="K192" i="8" l="1"/>
  <c r="K209" i="8"/>
  <c r="K416" i="8"/>
  <c r="K196" i="8"/>
  <c r="K205" i="8"/>
  <c r="L200" i="8"/>
  <c r="F192" i="8"/>
  <c r="L193" i="8"/>
  <c r="F201" i="8"/>
  <c r="F205" i="8"/>
  <c r="K201" i="8"/>
  <c r="J184" i="8"/>
  <c r="L184" i="8" s="1"/>
  <c r="J192" i="8"/>
  <c r="J205" i="8"/>
  <c r="J201" i="8"/>
  <c r="L192" i="8" l="1"/>
  <c r="L205" i="8"/>
  <c r="L201" i="8"/>
  <c r="D198" i="8" l="1"/>
  <c r="D211" i="8"/>
  <c r="D206" i="8"/>
  <c r="D191" i="8"/>
  <c r="K211" i="8" l="1"/>
  <c r="K198" i="8"/>
  <c r="D203" i="8"/>
  <c r="E203" i="8"/>
  <c r="F203" i="8" s="1"/>
  <c r="D204" i="8"/>
  <c r="D197" i="8"/>
  <c r="D152" i="8"/>
  <c r="D165" i="8"/>
  <c r="D163" i="8"/>
  <c r="D161" i="8"/>
  <c r="E161" i="8"/>
  <c r="K197" i="8" l="1"/>
  <c r="D162" i="8"/>
  <c r="F161" i="8"/>
  <c r="D166" i="8"/>
  <c r="J161" i="8"/>
  <c r="J203" i="8"/>
  <c r="K203" i="8"/>
  <c r="F175" i="8"/>
  <c r="K175" i="8"/>
  <c r="K161" i="8"/>
  <c r="L161" i="8" l="1"/>
  <c r="L203" i="8"/>
  <c r="J162" i="8"/>
  <c r="F162" i="8"/>
  <c r="K162" i="8"/>
  <c r="J175" i="8"/>
  <c r="L175" i="8" s="1"/>
  <c r="L162" i="8" l="1"/>
  <c r="D164" i="8"/>
  <c r="K163" i="8"/>
  <c r="F163" i="8"/>
  <c r="F164" i="8" l="1"/>
  <c r="J164" i="8"/>
  <c r="K164" i="8"/>
  <c r="J163" i="8"/>
  <c r="L163" i="8" s="1"/>
  <c r="L164" i="8" l="1"/>
  <c r="D159" i="8" l="1"/>
  <c r="D157" i="8"/>
  <c r="D160" i="8" l="1"/>
  <c r="F157" i="8"/>
  <c r="J157" i="8"/>
  <c r="D158" i="8"/>
  <c r="K157" i="8"/>
  <c r="L157" i="8" l="1"/>
  <c r="K158" i="8"/>
  <c r="F158" i="8"/>
  <c r="J158" i="8"/>
  <c r="L158" i="8" l="1"/>
  <c r="D153" i="8"/>
  <c r="D156" i="8"/>
  <c r="D155" i="8"/>
  <c r="D154" i="8"/>
  <c r="D167" i="8"/>
  <c r="D151" i="8"/>
  <c r="D150" i="8"/>
  <c r="D418" i="8" l="1"/>
  <c r="K418" i="8" l="1"/>
  <c r="J418" i="8"/>
  <c r="L418" i="8" l="1"/>
  <c r="D127" i="8" l="1"/>
  <c r="K426" i="8" l="1"/>
  <c r="J426" i="8"/>
  <c r="F426" i="8"/>
  <c r="L426" i="8" l="1"/>
  <c r="D437" i="8"/>
  <c r="D438" i="8"/>
  <c r="D105" i="8" l="1"/>
  <c r="D102" i="8"/>
  <c r="D95" i="8"/>
  <c r="D106" i="8" l="1"/>
  <c r="D96" i="8"/>
  <c r="D143" i="8"/>
  <c r="D142" i="8"/>
  <c r="D141" i="8"/>
  <c r="D140" i="8"/>
  <c r="D139" i="8"/>
  <c r="D138" i="8"/>
  <c r="D137" i="8"/>
  <c r="D135" i="8"/>
  <c r="D134" i="8"/>
  <c r="D133" i="8"/>
  <c r="D132" i="8"/>
  <c r="D131" i="8"/>
  <c r="D130" i="8"/>
  <c r="D129" i="8"/>
  <c r="D128" i="8"/>
  <c r="F127" i="8"/>
  <c r="D126" i="8"/>
  <c r="D125" i="8"/>
  <c r="D124" i="8"/>
  <c r="D122" i="8"/>
  <c r="D121" i="8"/>
  <c r="D119" i="8"/>
  <c r="D136" i="8"/>
  <c r="D123" i="8"/>
  <c r="K106" i="8" l="1"/>
  <c r="K127" i="8"/>
  <c r="J127" i="8"/>
  <c r="L127" i="8" l="1"/>
  <c r="D38" i="8"/>
  <c r="D37" i="8"/>
  <c r="J36" i="8"/>
  <c r="F36" i="8"/>
  <c r="J38" i="8" l="1"/>
  <c r="F38" i="8"/>
  <c r="K38" i="8"/>
  <c r="J37" i="8"/>
  <c r="F37" i="8"/>
  <c r="K37" i="8"/>
  <c r="K36" i="8"/>
  <c r="L36" i="8" s="1"/>
  <c r="D83" i="8"/>
  <c r="J82" i="8"/>
  <c r="F82" i="8"/>
  <c r="K83" i="8" l="1"/>
  <c r="K82" i="8"/>
  <c r="L82" i="8" s="1"/>
  <c r="L38" i="8"/>
  <c r="L37" i="8"/>
  <c r="J83" i="8"/>
  <c r="F83" i="8"/>
  <c r="L83" i="8" l="1"/>
  <c r="D80" i="8"/>
  <c r="K80" i="8" l="1"/>
  <c r="J53" i="8"/>
  <c r="F53" i="8"/>
  <c r="J155" i="8"/>
  <c r="F155" i="8"/>
  <c r="K155" i="8" l="1"/>
  <c r="L155" i="8" s="1"/>
  <c r="K53" i="8"/>
  <c r="L53" i="8" s="1"/>
  <c r="J48" i="8" l="1"/>
  <c r="F48" i="8"/>
  <c r="K48" i="8" l="1"/>
  <c r="L48" i="8" s="1"/>
  <c r="B491" i="8" l="1"/>
  <c r="A491" i="8"/>
  <c r="K436" i="8" l="1"/>
  <c r="J436" i="8"/>
  <c r="F436" i="8"/>
  <c r="K435" i="8"/>
  <c r="F435" i="8"/>
  <c r="L436" i="8" l="1"/>
  <c r="J435" i="8"/>
  <c r="L435" i="8" s="1"/>
  <c r="J31" i="8" l="1"/>
  <c r="F31" i="8"/>
  <c r="K31" i="8" l="1"/>
  <c r="L31" i="8" s="1"/>
  <c r="D369" i="8" l="1"/>
  <c r="F369" i="8" l="1"/>
  <c r="K369" i="8"/>
  <c r="J369" i="8"/>
  <c r="L369" i="8" l="1"/>
  <c r="F425" i="8" l="1"/>
  <c r="F424" i="8"/>
  <c r="F423" i="8"/>
  <c r="F421" i="8"/>
  <c r="J425" i="8" l="1"/>
  <c r="L425" i="8" s="1"/>
  <c r="J423" i="8"/>
  <c r="L423" i="8" s="1"/>
  <c r="J424" i="8"/>
  <c r="L424" i="8" s="1"/>
  <c r="J421" i="8"/>
  <c r="L421" i="8" s="1"/>
  <c r="E308" i="8" l="1"/>
  <c r="J308" i="8" l="1"/>
  <c r="K308" i="8"/>
  <c r="F308" i="8"/>
  <c r="L308" i="8" l="1"/>
  <c r="D76" i="8" l="1"/>
  <c r="E145" i="8" l="1"/>
  <c r="D145" i="8"/>
  <c r="K145" i="8" l="1"/>
  <c r="J145" i="8"/>
  <c r="F145" i="8"/>
  <c r="D144" i="8"/>
  <c r="F143" i="8"/>
  <c r="K143" i="8"/>
  <c r="L145" i="8" l="1"/>
  <c r="K144" i="8"/>
  <c r="J144" i="8"/>
  <c r="F144" i="8"/>
  <c r="L144" i="8" l="1"/>
  <c r="F101" i="8"/>
  <c r="K100" i="8"/>
  <c r="F100" i="8"/>
  <c r="K101" i="8" l="1"/>
  <c r="D380" i="8" l="1"/>
  <c r="E154" i="8"/>
  <c r="F154" i="8" s="1"/>
  <c r="D357" i="8"/>
  <c r="D358" i="8" s="1"/>
  <c r="D355" i="8"/>
  <c r="D356" i="8" s="1"/>
  <c r="D354" i="8"/>
  <c r="D352" i="8"/>
  <c r="D348" i="8"/>
  <c r="D346" i="8"/>
  <c r="D337" i="8"/>
  <c r="F335" i="8"/>
  <c r="D331" i="8"/>
  <c r="K358" i="8" l="1"/>
  <c r="K354" i="8"/>
  <c r="K331" i="8"/>
  <c r="K352" i="8"/>
  <c r="K346" i="8"/>
  <c r="K356" i="8"/>
  <c r="F348" i="8"/>
  <c r="K348" i="8"/>
  <c r="F337" i="8"/>
  <c r="K337" i="8"/>
  <c r="F358" i="8"/>
  <c r="J358" i="8"/>
  <c r="F356" i="8"/>
  <c r="J356" i="8"/>
  <c r="L356" i="8" s="1"/>
  <c r="F354" i="8"/>
  <c r="J354" i="8"/>
  <c r="F352" i="8"/>
  <c r="J352" i="8"/>
  <c r="J154" i="8"/>
  <c r="J331" i="8"/>
  <c r="L331" i="8" s="1"/>
  <c r="F331" i="8"/>
  <c r="K154" i="8"/>
  <c r="J335" i="8"/>
  <c r="L335" i="8" s="1"/>
  <c r="J348" i="8"/>
  <c r="L348" i="8" s="1"/>
  <c r="F346" i="8"/>
  <c r="J346" i="8"/>
  <c r="J337" i="8"/>
  <c r="L358" i="8" l="1"/>
  <c r="L346" i="8"/>
  <c r="L354" i="8"/>
  <c r="L352" i="8"/>
  <c r="L337" i="8"/>
  <c r="L154" i="8"/>
  <c r="F286" i="8" l="1"/>
  <c r="F313" i="8"/>
  <c r="D389" i="8"/>
  <c r="F314" i="8"/>
  <c r="F312" i="8"/>
  <c r="F311" i="8"/>
  <c r="J310" i="8"/>
  <c r="E310" i="8"/>
  <c r="E309" i="8"/>
  <c r="D388" i="8"/>
  <c r="F302" i="8"/>
  <c r="D303" i="8"/>
  <c r="F285" i="8"/>
  <c r="E282" i="8"/>
  <c r="E281" i="8"/>
  <c r="E280" i="8"/>
  <c r="F303" i="8" l="1"/>
  <c r="K303" i="8"/>
  <c r="D387" i="8"/>
  <c r="D319" i="8"/>
  <c r="J282" i="8"/>
  <c r="D320" i="8"/>
  <c r="J309" i="8"/>
  <c r="D321" i="8"/>
  <c r="J311" i="8"/>
  <c r="L311" i="8" s="1"/>
  <c r="J312" i="8"/>
  <c r="L312" i="8" s="1"/>
  <c r="J313" i="8"/>
  <c r="L313" i="8" s="1"/>
  <c r="J314" i="8"/>
  <c r="L314" i="8" s="1"/>
  <c r="F310" i="8"/>
  <c r="K310" i="8"/>
  <c r="L310" i="8" s="1"/>
  <c r="F309" i="8"/>
  <c r="K309" i="8"/>
  <c r="J280" i="8"/>
  <c r="F282" i="8"/>
  <c r="K282" i="8"/>
  <c r="F289" i="8"/>
  <c r="J281" i="8"/>
  <c r="F281" i="8"/>
  <c r="K281" i="8"/>
  <c r="J285" i="8"/>
  <c r="L285" i="8" s="1"/>
  <c r="J286" i="8"/>
  <c r="L286" i="8" s="1"/>
  <c r="J289" i="8"/>
  <c r="L289" i="8" s="1"/>
  <c r="J302" i="8"/>
  <c r="L302" i="8" s="1"/>
  <c r="J303" i="8"/>
  <c r="L303" i="8" s="1"/>
  <c r="F280" i="8"/>
  <c r="K280" i="8"/>
  <c r="K321" i="8" l="1"/>
  <c r="F319" i="8"/>
  <c r="K319" i="8"/>
  <c r="F320" i="8"/>
  <c r="K320" i="8"/>
  <c r="J319" i="8"/>
  <c r="L280" i="8"/>
  <c r="L282" i="8"/>
  <c r="J320" i="8"/>
  <c r="L320" i="8" s="1"/>
  <c r="L309" i="8"/>
  <c r="F321" i="8"/>
  <c r="J321" i="8"/>
  <c r="F301" i="8"/>
  <c r="J301" i="8"/>
  <c r="L301" i="8" s="1"/>
  <c r="F300" i="8"/>
  <c r="J300" i="8"/>
  <c r="L300" i="8" s="1"/>
  <c r="L281" i="8"/>
  <c r="L321" i="8" l="1"/>
  <c r="L319" i="8"/>
  <c r="J380" i="8"/>
  <c r="K380" i="8" l="1"/>
  <c r="L380" i="8" l="1"/>
  <c r="J455" i="8" l="1"/>
  <c r="K455" i="8" l="1"/>
  <c r="L455" i="8" s="1"/>
  <c r="B489" i="8" l="1"/>
  <c r="F52" i="8"/>
  <c r="F51" i="8"/>
  <c r="J51" i="8" l="1"/>
  <c r="K52" i="8"/>
  <c r="J52" i="8"/>
  <c r="K51" i="8"/>
  <c r="L52" i="8" l="1"/>
  <c r="L51" i="8"/>
  <c r="F49" i="8"/>
  <c r="J49" i="8" l="1"/>
  <c r="K49" i="8"/>
  <c r="L49" i="8" l="1"/>
  <c r="E42" i="8"/>
  <c r="F42" i="8" s="1"/>
  <c r="F75" i="8"/>
  <c r="J42" i="8" l="1"/>
  <c r="K42" i="8"/>
  <c r="K75" i="8"/>
  <c r="L42" i="8" l="1"/>
  <c r="E32" i="8" l="1"/>
  <c r="F32" i="8" s="1"/>
  <c r="K32" i="8" l="1"/>
  <c r="L32" i="8" l="1"/>
  <c r="F66" i="8" l="1"/>
  <c r="F63" i="8"/>
  <c r="E269" i="8"/>
  <c r="J269" i="8" l="1"/>
  <c r="F269" i="8"/>
  <c r="K269" i="8"/>
  <c r="L269" i="8" l="1"/>
  <c r="F409" i="8" l="1"/>
  <c r="J408" i="8"/>
  <c r="F408" i="8"/>
  <c r="F407" i="8"/>
  <c r="F406" i="8"/>
  <c r="J405" i="8"/>
  <c r="F405" i="8"/>
  <c r="F404" i="8"/>
  <c r="K403" i="8"/>
  <c r="F403" i="8"/>
  <c r="J384" i="8"/>
  <c r="K384" i="8" l="1"/>
  <c r="L384" i="8" s="1"/>
  <c r="K382" i="8"/>
  <c r="J382" i="8"/>
  <c r="J407" i="8"/>
  <c r="K405" i="8"/>
  <c r="L405" i="8" s="1"/>
  <c r="K406" i="8"/>
  <c r="J403" i="8"/>
  <c r="L403" i="8" s="1"/>
  <c r="K408" i="8"/>
  <c r="L408" i="8" s="1"/>
  <c r="J404" i="8"/>
  <c r="K409" i="8"/>
  <c r="K404" i="8"/>
  <c r="J406" i="8"/>
  <c r="K407" i="8"/>
  <c r="J409" i="8"/>
  <c r="L407" i="8" l="1"/>
  <c r="L406" i="8"/>
  <c r="L382" i="8"/>
  <c r="L404" i="8"/>
  <c r="L409" i="8"/>
  <c r="F275" i="8" l="1"/>
  <c r="F274" i="8"/>
  <c r="F273" i="8"/>
  <c r="F271" i="8"/>
  <c r="E267" i="8"/>
  <c r="K260" i="8"/>
  <c r="K259" i="8"/>
  <c r="E266" i="8"/>
  <c r="E256" i="8"/>
  <c r="D390" i="8" l="1"/>
  <c r="F388" i="8"/>
  <c r="K388" i="8"/>
  <c r="J388" i="8"/>
  <c r="F389" i="8"/>
  <c r="J389" i="8"/>
  <c r="K389" i="8"/>
  <c r="J260" i="8"/>
  <c r="L260" i="8" s="1"/>
  <c r="F267" i="8"/>
  <c r="F259" i="8"/>
  <c r="K276" i="8"/>
  <c r="K273" i="8"/>
  <c r="J276" i="8"/>
  <c r="K267" i="8"/>
  <c r="J266" i="8"/>
  <c r="J259" i="8"/>
  <c r="L259" i="8" s="1"/>
  <c r="F261" i="8"/>
  <c r="F266" i="8"/>
  <c r="F276" i="8"/>
  <c r="J267" i="8"/>
  <c r="K261" i="8"/>
  <c r="J261" i="8"/>
  <c r="F260" i="8"/>
  <c r="J273" i="8"/>
  <c r="J275" i="8"/>
  <c r="J271" i="8"/>
  <c r="L271" i="8" s="1"/>
  <c r="J274" i="8"/>
  <c r="K266" i="8"/>
  <c r="K275" i="8"/>
  <c r="K274" i="8"/>
  <c r="F265" i="8"/>
  <c r="K265" i="8"/>
  <c r="F256" i="8"/>
  <c r="K256" i="8"/>
  <c r="K255" i="8"/>
  <c r="F255" i="8"/>
  <c r="J255" i="8" l="1"/>
  <c r="J256" i="8"/>
  <c r="L256" i="8" s="1"/>
  <c r="J387" i="8"/>
  <c r="K387" i="8"/>
  <c r="F387" i="8"/>
  <c r="L388" i="8"/>
  <c r="L389" i="8"/>
  <c r="F390" i="8"/>
  <c r="K390" i="8"/>
  <c r="J390" i="8"/>
  <c r="L273" i="8"/>
  <c r="L261" i="8"/>
  <c r="L276" i="8"/>
  <c r="L266" i="8"/>
  <c r="L267" i="8"/>
  <c r="L255" i="8"/>
  <c r="L275" i="8"/>
  <c r="J265" i="8"/>
  <c r="L265" i="8" s="1"/>
  <c r="L274" i="8"/>
  <c r="L387" i="8" l="1"/>
  <c r="L390" i="8"/>
  <c r="D399" i="8"/>
  <c r="D394" i="8"/>
  <c r="D395" i="8"/>
  <c r="F395" i="8" l="1"/>
  <c r="K395" i="8"/>
  <c r="J395" i="8"/>
  <c r="F394" i="8"/>
  <c r="K394" i="8"/>
  <c r="J394" i="8"/>
  <c r="F399" i="8"/>
  <c r="J399" i="8"/>
  <c r="K399" i="8"/>
  <c r="D396" i="8"/>
  <c r="D397" i="8"/>
  <c r="E242" i="8"/>
  <c r="E244" i="8"/>
  <c r="E238" i="8"/>
  <c r="E241" i="8"/>
  <c r="D398" i="8"/>
  <c r="D401" i="8"/>
  <c r="D400" i="8"/>
  <c r="E208" i="8"/>
  <c r="E195" i="8"/>
  <c r="E196" i="8"/>
  <c r="E209" i="8"/>
  <c r="D393" i="8" l="1"/>
  <c r="L395" i="8"/>
  <c r="L399" i="8"/>
  <c r="L394" i="8"/>
  <c r="F400" i="8"/>
  <c r="K400" i="8"/>
  <c r="J400" i="8"/>
  <c r="F398" i="8"/>
  <c r="J398" i="8"/>
  <c r="K398" i="8"/>
  <c r="F401" i="8"/>
  <c r="J401" i="8"/>
  <c r="K401" i="8"/>
  <c r="F397" i="8"/>
  <c r="K397" i="8"/>
  <c r="J397" i="8"/>
  <c r="F396" i="8"/>
  <c r="J396" i="8"/>
  <c r="K396" i="8"/>
  <c r="F241" i="8"/>
  <c r="F238" i="8"/>
  <c r="F196" i="8"/>
  <c r="J196" i="8"/>
  <c r="L196" i="8" s="1"/>
  <c r="J209" i="8"/>
  <c r="L209" i="8" s="1"/>
  <c r="J195" i="8"/>
  <c r="L195" i="8" s="1"/>
  <c r="F208" i="8"/>
  <c r="F209" i="8"/>
  <c r="F244" i="8"/>
  <c r="J208" i="8"/>
  <c r="L208" i="8" s="1"/>
  <c r="F242" i="8"/>
  <c r="K242" i="8"/>
  <c r="J242" i="8"/>
  <c r="J244" i="8"/>
  <c r="L244" i="8" s="1"/>
  <c r="J238" i="8"/>
  <c r="L238" i="8" s="1"/>
  <c r="K241" i="8"/>
  <c r="J241" i="8"/>
  <c r="F195" i="8"/>
  <c r="E197" i="8"/>
  <c r="E198" i="8"/>
  <c r="E194" i="8"/>
  <c r="J393" i="8" l="1"/>
  <c r="J411" i="8" s="1"/>
  <c r="F393" i="8"/>
  <c r="K393" i="8"/>
  <c r="L401" i="8"/>
  <c r="L397" i="8"/>
  <c r="L396" i="8"/>
  <c r="L398" i="8"/>
  <c r="L400" i="8"/>
  <c r="J197" i="8"/>
  <c r="L197" i="8" s="1"/>
  <c r="L242" i="8"/>
  <c r="F194" i="8"/>
  <c r="J198" i="8"/>
  <c r="L198" i="8" s="1"/>
  <c r="F215" i="8"/>
  <c r="F197" i="8"/>
  <c r="L241" i="8"/>
  <c r="F198" i="8"/>
  <c r="J215" i="8"/>
  <c r="L215" i="8" s="1"/>
  <c r="J194" i="8"/>
  <c r="L194" i="8" s="1"/>
  <c r="L393" i="8" l="1"/>
  <c r="K411" i="8"/>
  <c r="K240" i="8"/>
  <c r="E240" i="8"/>
  <c r="F240" i="8" s="1"/>
  <c r="J207" i="8"/>
  <c r="L207" i="8" s="1"/>
  <c r="E210" i="8"/>
  <c r="F210" i="8" l="1"/>
  <c r="J240" i="8"/>
  <c r="L240" i="8" s="1"/>
  <c r="F207" i="8"/>
  <c r="J210" i="8"/>
  <c r="L210" i="8" s="1"/>
  <c r="F167" i="8" l="1"/>
  <c r="K167" i="8"/>
  <c r="J167" i="8"/>
  <c r="L167" i="8" l="1"/>
  <c r="F156" i="8"/>
  <c r="K165" i="8"/>
  <c r="E165" i="8"/>
  <c r="F165" i="8" s="1"/>
  <c r="K156" i="8" l="1"/>
  <c r="J166" i="8"/>
  <c r="F166" i="8"/>
  <c r="J156" i="8"/>
  <c r="J165" i="8"/>
  <c r="L165" i="8" s="1"/>
  <c r="K166" i="8"/>
  <c r="L156" i="8" l="1"/>
  <c r="L166" i="8"/>
  <c r="F159" i="8" l="1"/>
  <c r="J153" i="8"/>
  <c r="E153" i="8"/>
  <c r="J152" i="8"/>
  <c r="E152" i="8"/>
  <c r="D103" i="8"/>
  <c r="K103" i="8" l="1"/>
  <c r="F153" i="8"/>
  <c r="F152" i="8"/>
  <c r="F160" i="8"/>
  <c r="K159" i="8"/>
  <c r="J159" i="8"/>
  <c r="K152" i="8"/>
  <c r="L152" i="8" s="1"/>
  <c r="K153" i="8"/>
  <c r="L153" i="8" s="1"/>
  <c r="L159" i="8" l="1"/>
  <c r="J160" i="8"/>
  <c r="K160" i="8"/>
  <c r="L160" i="8" l="1"/>
  <c r="F142" i="8"/>
  <c r="F134" i="8"/>
  <c r="F123" i="8"/>
  <c r="F135" i="8"/>
  <c r="F130" i="8"/>
  <c r="F129" i="8"/>
  <c r="F126" i="8"/>
  <c r="F124" i="8"/>
  <c r="F121" i="8"/>
  <c r="K121" i="8" l="1"/>
  <c r="K142" i="8"/>
  <c r="K125" i="8"/>
  <c r="J142" i="8"/>
  <c r="F140" i="8"/>
  <c r="K140" i="8"/>
  <c r="F141" i="8"/>
  <c r="K141" i="8"/>
  <c r="F137" i="8"/>
  <c r="K137" i="8"/>
  <c r="F138" i="8"/>
  <c r="K138" i="8"/>
  <c r="F139" i="8"/>
  <c r="K139" i="8"/>
  <c r="K134" i="8"/>
  <c r="F133" i="8"/>
  <c r="K133" i="8"/>
  <c r="F136" i="8"/>
  <c r="K136" i="8"/>
  <c r="K129" i="8"/>
  <c r="K135" i="8"/>
  <c r="K124" i="8"/>
  <c r="K131" i="8"/>
  <c r="K132" i="8"/>
  <c r="F132" i="8"/>
  <c r="F131" i="8"/>
  <c r="F128" i="8"/>
  <c r="K128" i="8"/>
  <c r="F125" i="8"/>
  <c r="K123" i="8"/>
  <c r="K126" i="8"/>
  <c r="K130" i="8"/>
  <c r="L142" i="8" l="1"/>
  <c r="D89" i="8" l="1"/>
  <c r="D109" i="8"/>
  <c r="D112" i="8"/>
  <c r="E114" i="8"/>
  <c r="E113" i="8"/>
  <c r="F111" i="8"/>
  <c r="K112" i="8" l="1"/>
  <c r="K109" i="8"/>
  <c r="D114" i="8"/>
  <c r="D113" i="8"/>
  <c r="K111" i="8"/>
  <c r="J112" i="8"/>
  <c r="F112" i="8"/>
  <c r="J111" i="8"/>
  <c r="L112" i="8" l="1"/>
  <c r="K113" i="8"/>
  <c r="J114" i="8"/>
  <c r="K114" i="8"/>
  <c r="J113" i="8"/>
  <c r="F113" i="8"/>
  <c r="L111" i="8"/>
  <c r="F114" i="8"/>
  <c r="L113" i="8" l="1"/>
  <c r="L114" i="8"/>
  <c r="E98" i="8"/>
  <c r="E97" i="8"/>
  <c r="K96" i="8"/>
  <c r="J95" i="8"/>
  <c r="F95" i="8"/>
  <c r="K95" i="8" l="1"/>
  <c r="L95" i="8" s="1"/>
  <c r="F96" i="8"/>
  <c r="D98" i="8"/>
  <c r="J96" i="8"/>
  <c r="L96" i="8" s="1"/>
  <c r="D97" i="8"/>
  <c r="K97" i="8" l="1"/>
  <c r="F98" i="8"/>
  <c r="K98" i="8"/>
  <c r="J98" i="8"/>
  <c r="D99" i="8"/>
  <c r="F97" i="8"/>
  <c r="J97" i="8"/>
  <c r="L97" i="8" l="1"/>
  <c r="K99" i="8"/>
  <c r="L98" i="8"/>
  <c r="F99" i="8"/>
  <c r="J99" i="8"/>
  <c r="L99" i="8" l="1"/>
  <c r="D81" i="8"/>
  <c r="F74" i="8"/>
  <c r="F79" i="8" l="1"/>
  <c r="K79" i="8"/>
  <c r="K74" i="8"/>
  <c r="F81" i="8"/>
  <c r="K81" i="8"/>
  <c r="F80" i="8" l="1"/>
  <c r="F43" i="8" l="1"/>
  <c r="K43" i="8" l="1"/>
  <c r="K41" i="8" l="1"/>
  <c r="J50" i="8"/>
  <c r="F50" i="8"/>
  <c r="F47" i="8"/>
  <c r="F46" i="8"/>
  <c r="F45" i="8"/>
  <c r="F44" i="8"/>
  <c r="F41" i="8"/>
  <c r="D59" i="8"/>
  <c r="D61" i="8" l="1"/>
  <c r="K44" i="8"/>
  <c r="K47" i="8"/>
  <c r="K45" i="8"/>
  <c r="K50" i="8"/>
  <c r="L50" i="8" s="1"/>
  <c r="J45" i="8"/>
  <c r="K46" i="8"/>
  <c r="F59" i="8"/>
  <c r="K59" i="8"/>
  <c r="J46" i="8"/>
  <c r="J44" i="8"/>
  <c r="J41" i="8"/>
  <c r="L41" i="8" s="1"/>
  <c r="J47" i="8"/>
  <c r="D60" i="8"/>
  <c r="K60" i="8" l="1"/>
  <c r="K61" i="8"/>
  <c r="L47" i="8"/>
  <c r="L45" i="8"/>
  <c r="L44" i="8"/>
  <c r="L46" i="8"/>
  <c r="E448" i="8" l="1"/>
  <c r="F448" i="8" l="1"/>
  <c r="K448" i="8"/>
  <c r="J448" i="8"/>
  <c r="K443" i="8"/>
  <c r="L448" i="8" l="1"/>
  <c r="K450" i="8" l="1"/>
  <c r="J442" i="8"/>
  <c r="F442" i="8"/>
  <c r="K442" i="8"/>
  <c r="F450" i="8"/>
  <c r="J450" i="8"/>
  <c r="L450" i="8" l="1"/>
  <c r="L442" i="8"/>
  <c r="D73" i="8"/>
  <c r="D107" i="8"/>
  <c r="D104" i="8"/>
  <c r="F469" i="8"/>
  <c r="F467" i="8"/>
  <c r="B465" i="8"/>
  <c r="F250" i="8"/>
  <c r="F214" i="8"/>
  <c r="F213" i="8"/>
  <c r="F252" i="8"/>
  <c r="E246" i="8"/>
  <c r="E243" i="8"/>
  <c r="E232" i="8"/>
  <c r="E206" i="8"/>
  <c r="E202" i="8"/>
  <c r="E191" i="8"/>
  <c r="E204" i="8"/>
  <c r="E231" i="8"/>
  <c r="E245" i="8"/>
  <c r="D120" i="8"/>
  <c r="D78" i="8"/>
  <c r="F34" i="8"/>
  <c r="K76" i="8"/>
  <c r="F76" i="8"/>
  <c r="E104" i="8"/>
  <c r="F102" i="8"/>
  <c r="E110" i="8"/>
  <c r="D110" i="8"/>
  <c r="F109" i="8"/>
  <c r="J108" i="8"/>
  <c r="F108" i="8"/>
  <c r="E107" i="8"/>
  <c r="K107" i="8" l="1"/>
  <c r="F73" i="8"/>
  <c r="F78" i="8"/>
  <c r="K110" i="8"/>
  <c r="K34" i="8"/>
  <c r="J34" i="8"/>
  <c r="F103" i="8"/>
  <c r="F185" i="8"/>
  <c r="K73" i="8"/>
  <c r="K185" i="8"/>
  <c r="K469" i="8"/>
  <c r="J469" i="8"/>
  <c r="K467" i="8"/>
  <c r="J467" i="8"/>
  <c r="F177" i="8"/>
  <c r="K177" i="8"/>
  <c r="J246" i="8"/>
  <c r="L246" i="8" s="1"/>
  <c r="J213" i="8"/>
  <c r="L213" i="8" s="1"/>
  <c r="F246" i="8"/>
  <c r="J214" i="8"/>
  <c r="L214" i="8" s="1"/>
  <c r="K243" i="8"/>
  <c r="F224" i="8"/>
  <c r="J250" i="8"/>
  <c r="L250" i="8" s="1"/>
  <c r="J252" i="8"/>
  <c r="L252" i="8" s="1"/>
  <c r="J251" i="8"/>
  <c r="L251" i="8" s="1"/>
  <c r="F251" i="8"/>
  <c r="K224" i="8"/>
  <c r="K202" i="8"/>
  <c r="K206" i="8"/>
  <c r="J232" i="8"/>
  <c r="F243" i="8"/>
  <c r="F204" i="8"/>
  <c r="J206" i="8"/>
  <c r="J243" i="8"/>
  <c r="F206" i="8"/>
  <c r="F232" i="8"/>
  <c r="K232" i="8"/>
  <c r="J202" i="8"/>
  <c r="F202" i="8"/>
  <c r="F245" i="8"/>
  <c r="K191" i="8"/>
  <c r="F191" i="8"/>
  <c r="J191" i="8"/>
  <c r="K204" i="8"/>
  <c r="K77" i="8"/>
  <c r="J204" i="8"/>
  <c r="F77" i="8"/>
  <c r="F231" i="8"/>
  <c r="K231" i="8"/>
  <c r="J231" i="8"/>
  <c r="J245" i="8"/>
  <c r="L245" i="8" s="1"/>
  <c r="F110" i="8"/>
  <c r="F104" i="8"/>
  <c r="J104" i="8"/>
  <c r="L104" i="8" s="1"/>
  <c r="J103" i="8"/>
  <c r="L103" i="8" s="1"/>
  <c r="K108" i="8"/>
  <c r="L108" i="8" s="1"/>
  <c r="J109" i="8"/>
  <c r="L109" i="8" s="1"/>
  <c r="J110" i="8"/>
  <c r="F105" i="8"/>
  <c r="K105" i="8"/>
  <c r="J105" i="8"/>
  <c r="L110" i="8" l="1"/>
  <c r="J224" i="8"/>
  <c r="L224" i="8" s="1"/>
  <c r="J185" i="8"/>
  <c r="L185" i="8" s="1"/>
  <c r="L469" i="8"/>
  <c r="L467" i="8"/>
  <c r="L202" i="8"/>
  <c r="J177" i="8"/>
  <c r="L177" i="8" s="1"/>
  <c r="L206" i="8"/>
  <c r="L243" i="8"/>
  <c r="L232" i="8"/>
  <c r="L191" i="8"/>
  <c r="L231" i="8"/>
  <c r="L204" i="8"/>
  <c r="L34" i="8"/>
  <c r="K102" i="8"/>
  <c r="J102" i="8"/>
  <c r="J106" i="8"/>
  <c r="L106" i="8" s="1"/>
  <c r="F106" i="8"/>
  <c r="F107" i="8"/>
  <c r="J107" i="8"/>
  <c r="L107" i="8" s="1"/>
  <c r="L105" i="8"/>
  <c r="L102" i="8" l="1"/>
  <c r="K151" i="8" l="1"/>
  <c r="J151" i="8"/>
  <c r="E151" i="8"/>
  <c r="F151" i="8" s="1"/>
  <c r="K150" i="8"/>
  <c r="J150" i="8"/>
  <c r="F150" i="8"/>
  <c r="J169" i="8" l="1"/>
  <c r="F169" i="8"/>
  <c r="K169" i="8"/>
  <c r="L150" i="8"/>
  <c r="L151" i="8"/>
  <c r="D72" i="8"/>
  <c r="F71" i="8"/>
  <c r="D70" i="8"/>
  <c r="D69" i="8"/>
  <c r="F68" i="8"/>
  <c r="K63" i="8"/>
  <c r="J63" i="8"/>
  <c r="A489" i="8"/>
  <c r="A432" i="8"/>
  <c r="F444" i="8"/>
  <c r="E449" i="8"/>
  <c r="D451" i="8"/>
  <c r="D414" i="8"/>
  <c r="E414" i="8"/>
  <c r="F176" i="8"/>
  <c r="F178" i="8"/>
  <c r="F179" i="8"/>
  <c r="E211" i="8"/>
  <c r="F183" i="8"/>
  <c r="F174" i="8"/>
  <c r="E248" i="8"/>
  <c r="E234" i="8"/>
  <c r="E212" i="8"/>
  <c r="E247" i="8"/>
  <c r="E233" i="8"/>
  <c r="E230" i="8"/>
  <c r="E229" i="8"/>
  <c r="E228" i="8"/>
  <c r="E227" i="8"/>
  <c r="E190" i="8"/>
  <c r="E189" i="8"/>
  <c r="E188" i="8"/>
  <c r="E187" i="8"/>
  <c r="E186" i="8"/>
  <c r="E447" i="8"/>
  <c r="F64" i="8"/>
  <c r="F122" i="8"/>
  <c r="F120" i="8"/>
  <c r="D62" i="8"/>
  <c r="F33" i="8"/>
  <c r="F89" i="8"/>
  <c r="D90" i="8"/>
  <c r="D372" i="8"/>
  <c r="K457" i="8"/>
  <c r="D461" i="8"/>
  <c r="E440" i="8"/>
  <c r="E446" i="8"/>
  <c r="F456" i="8"/>
  <c r="F457" i="8"/>
  <c r="F30" i="8"/>
  <c r="F35" i="8"/>
  <c r="E92" i="8"/>
  <c r="E93" i="8"/>
  <c r="J457" i="8"/>
  <c r="B432" i="8"/>
  <c r="D473" i="8"/>
  <c r="D475" i="8"/>
  <c r="B27" i="8"/>
  <c r="A27" i="8"/>
  <c r="D14" i="8"/>
  <c r="D92" i="8"/>
  <c r="K92" i="8" l="1"/>
  <c r="K62" i="8"/>
  <c r="F90" i="8"/>
  <c r="K414" i="8"/>
  <c r="F451" i="8"/>
  <c r="K451" i="8"/>
  <c r="F69" i="8"/>
  <c r="K69" i="8"/>
  <c r="F70" i="8"/>
  <c r="K70" i="8"/>
  <c r="J143" i="8"/>
  <c r="L143" i="8" s="1"/>
  <c r="J30" i="8"/>
  <c r="K30" i="8"/>
  <c r="J439" i="8"/>
  <c r="F439" i="8"/>
  <c r="K439" i="8"/>
  <c r="F72" i="8"/>
  <c r="K72" i="8"/>
  <c r="K71" i="8"/>
  <c r="K68" i="8"/>
  <c r="J69" i="8"/>
  <c r="J70" i="8"/>
  <c r="K66" i="8"/>
  <c r="J66" i="8"/>
  <c r="L63" i="8"/>
  <c r="F182" i="8"/>
  <c r="K225" i="8"/>
  <c r="F219" i="8"/>
  <c r="J230" i="8"/>
  <c r="F247" i="8"/>
  <c r="K372" i="8"/>
  <c r="L372" i="8" s="1"/>
  <c r="L457" i="8"/>
  <c r="J188" i="8"/>
  <c r="J248" i="8"/>
  <c r="L248" i="8" s="1"/>
  <c r="K190" i="8"/>
  <c r="J186" i="8"/>
  <c r="J89" i="8"/>
  <c r="K33" i="8"/>
  <c r="F92" i="8"/>
  <c r="K449" i="8"/>
  <c r="K174" i="8"/>
  <c r="J190" i="8"/>
  <c r="F449" i="8"/>
  <c r="F443" i="8"/>
  <c r="K454" i="8"/>
  <c r="J454" i="8"/>
  <c r="F190" i="8"/>
  <c r="K233" i="8"/>
  <c r="K89" i="8"/>
  <c r="F223" i="8"/>
  <c r="K120" i="8"/>
  <c r="F212" i="8"/>
  <c r="J211" i="8"/>
  <c r="L211" i="8" s="1"/>
  <c r="K456" i="8"/>
  <c r="K219" i="8"/>
  <c r="K90" i="8"/>
  <c r="F227" i="8"/>
  <c r="F230" i="8"/>
  <c r="J247" i="8"/>
  <c r="L247" i="8" s="1"/>
  <c r="J212" i="8"/>
  <c r="L212" i="8" s="1"/>
  <c r="K181" i="8"/>
  <c r="J449" i="8"/>
  <c r="K122" i="8"/>
  <c r="F180" i="8"/>
  <c r="K188" i="8"/>
  <c r="K180" i="8"/>
  <c r="J229" i="8"/>
  <c r="F55" i="8"/>
  <c r="F181" i="8"/>
  <c r="F233" i="8"/>
  <c r="F228" i="8"/>
  <c r="F187" i="8"/>
  <c r="J176" i="8"/>
  <c r="J62" i="8"/>
  <c r="J414" i="8"/>
  <c r="K222" i="8"/>
  <c r="K228" i="8"/>
  <c r="F414" i="8"/>
  <c r="J187" i="8"/>
  <c r="F415" i="8"/>
  <c r="F211" i="8"/>
  <c r="K183" i="8"/>
  <c r="J178" i="8"/>
  <c r="F119" i="8"/>
  <c r="F147" i="8" s="1"/>
  <c r="F222" i="8"/>
  <c r="K182" i="8"/>
  <c r="J451" i="8"/>
  <c r="J417" i="8"/>
  <c r="J227" i="8"/>
  <c r="F225" i="8"/>
  <c r="K178" i="8"/>
  <c r="K119" i="8"/>
  <c r="J90" i="8"/>
  <c r="K64" i="8"/>
  <c r="K187" i="8"/>
  <c r="F248" i="8"/>
  <c r="J228" i="8"/>
  <c r="F437" i="8"/>
  <c r="J179" i="8"/>
  <c r="J456" i="8"/>
  <c r="K223" i="8"/>
  <c r="K35" i="8"/>
  <c r="K234" i="8"/>
  <c r="J234" i="8"/>
  <c r="F234" i="8"/>
  <c r="K221" i="8"/>
  <c r="F221" i="8"/>
  <c r="J233" i="8"/>
  <c r="F62" i="8"/>
  <c r="K230" i="8"/>
  <c r="J189" i="8"/>
  <c r="F189" i="8"/>
  <c r="K189" i="8"/>
  <c r="K229" i="8"/>
  <c r="F229" i="8"/>
  <c r="K179" i="8"/>
  <c r="F186" i="8"/>
  <c r="K186" i="8"/>
  <c r="K473" i="8"/>
  <c r="L473" i="8" s="1"/>
  <c r="K226" i="8"/>
  <c r="F218" i="8"/>
  <c r="K218" i="8"/>
  <c r="F188" i="8"/>
  <c r="J174" i="8"/>
  <c r="J92" i="8"/>
  <c r="L92" i="8" s="1"/>
  <c r="J438" i="8"/>
  <c r="J437" i="8"/>
  <c r="D91" i="8"/>
  <c r="K227" i="8"/>
  <c r="F226" i="8"/>
  <c r="J183" i="8"/>
  <c r="K475" i="8"/>
  <c r="L475" i="8" s="1"/>
  <c r="K461" i="8"/>
  <c r="L461" i="8" s="1"/>
  <c r="K176" i="8"/>
  <c r="J33" i="8"/>
  <c r="F220" i="8"/>
  <c r="K220" i="8"/>
  <c r="F438" i="8"/>
  <c r="K438" i="8"/>
  <c r="K437" i="8"/>
  <c r="J35" i="8"/>
  <c r="J444" i="8"/>
  <c r="K444" i="8"/>
  <c r="K445" i="8"/>
  <c r="F445" i="8"/>
  <c r="L451" i="8" l="1"/>
  <c r="L414" i="8"/>
  <c r="K415" i="8"/>
  <c r="K428" i="8" s="1"/>
  <c r="J181" i="8"/>
  <c r="L181" i="8" s="1"/>
  <c r="J225" i="8"/>
  <c r="L225" i="8" s="1"/>
  <c r="L70" i="8"/>
  <c r="L69" i="8"/>
  <c r="K85" i="8"/>
  <c r="J100" i="8"/>
  <c r="L100" i="8" s="1"/>
  <c r="K374" i="8"/>
  <c r="J101" i="8"/>
  <c r="L101" i="8" s="1"/>
  <c r="K147" i="8"/>
  <c r="K55" i="8"/>
  <c r="J75" i="8"/>
  <c r="L75" i="8" s="1"/>
  <c r="J141" i="8"/>
  <c r="L141" i="8" s="1"/>
  <c r="J140" i="8"/>
  <c r="L140" i="8" s="1"/>
  <c r="J139" i="8"/>
  <c r="L139" i="8" s="1"/>
  <c r="J138" i="8"/>
  <c r="L138" i="8" s="1"/>
  <c r="J133" i="8"/>
  <c r="L133" i="8" s="1"/>
  <c r="J134" i="8"/>
  <c r="L134" i="8" s="1"/>
  <c r="J136" i="8"/>
  <c r="L136" i="8" s="1"/>
  <c r="J137" i="8"/>
  <c r="L137" i="8" s="1"/>
  <c r="J135" i="8"/>
  <c r="L135" i="8" s="1"/>
  <c r="J132" i="8"/>
  <c r="L132" i="8" s="1"/>
  <c r="J128" i="8"/>
  <c r="L128" i="8" s="1"/>
  <c r="J125" i="8"/>
  <c r="L125" i="8" s="1"/>
  <c r="J124" i="8"/>
  <c r="L124" i="8" s="1"/>
  <c r="J80" i="8"/>
  <c r="L80" i="8" s="1"/>
  <c r="J74" i="8"/>
  <c r="L74" i="8" s="1"/>
  <c r="J121" i="8"/>
  <c r="L121" i="8" s="1"/>
  <c r="J131" i="8"/>
  <c r="L131" i="8" s="1"/>
  <c r="J79" i="8"/>
  <c r="L79" i="8" s="1"/>
  <c r="J130" i="8"/>
  <c r="L130" i="8" s="1"/>
  <c r="J123" i="8"/>
  <c r="L123" i="8" s="1"/>
  <c r="L81" i="8"/>
  <c r="J129" i="8"/>
  <c r="L129" i="8" s="1"/>
  <c r="J126" i="8"/>
  <c r="L126" i="8" s="1"/>
  <c r="J43" i="8"/>
  <c r="L43" i="8" s="1"/>
  <c r="J59" i="8"/>
  <c r="J61" i="8"/>
  <c r="L61" i="8" s="1"/>
  <c r="J60" i="8"/>
  <c r="L60" i="8" s="1"/>
  <c r="J443" i="8"/>
  <c r="L443" i="8" s="1"/>
  <c r="L439" i="8"/>
  <c r="J73" i="8"/>
  <c r="L73" i="8" s="1"/>
  <c r="J78" i="8"/>
  <c r="L78" i="8" s="1"/>
  <c r="J77" i="8"/>
  <c r="L77" i="8" s="1"/>
  <c r="J76" i="8"/>
  <c r="L76" i="8" s="1"/>
  <c r="J72" i="8"/>
  <c r="L72" i="8" s="1"/>
  <c r="J71" i="8"/>
  <c r="L71" i="8" s="1"/>
  <c r="J68" i="8"/>
  <c r="L68" i="8" s="1"/>
  <c r="L66" i="8"/>
  <c r="L30" i="8"/>
  <c r="J219" i="8"/>
  <c r="L219" i="8" s="1"/>
  <c r="J182" i="8"/>
  <c r="L182" i="8" s="1"/>
  <c r="L190" i="8"/>
  <c r="J223" i="8"/>
  <c r="L223" i="8" s="1"/>
  <c r="L230" i="8"/>
  <c r="L89" i="8"/>
  <c r="L186" i="8"/>
  <c r="L233" i="8"/>
  <c r="L33" i="8"/>
  <c r="L188" i="8"/>
  <c r="L227" i="8"/>
  <c r="L176" i="8"/>
  <c r="J180" i="8"/>
  <c r="L180" i="8" s="1"/>
  <c r="J415" i="8"/>
  <c r="L90" i="8"/>
  <c r="L449" i="8"/>
  <c r="L454" i="8"/>
  <c r="L183" i="8"/>
  <c r="L456" i="8"/>
  <c r="L417" i="8"/>
  <c r="J122" i="8"/>
  <c r="L122" i="8" s="1"/>
  <c r="L178" i="8"/>
  <c r="L229" i="8"/>
  <c r="J64" i="8"/>
  <c r="L64" i="8" s="1"/>
  <c r="F374" i="8"/>
  <c r="L35" i="8"/>
  <c r="L437" i="8"/>
  <c r="L234" i="8"/>
  <c r="L179" i="8"/>
  <c r="L228" i="8"/>
  <c r="J222" i="8"/>
  <c r="L222" i="8" s="1"/>
  <c r="F428" i="8"/>
  <c r="L187" i="8"/>
  <c r="K91" i="8"/>
  <c r="F91" i="8"/>
  <c r="D93" i="8"/>
  <c r="J91" i="8"/>
  <c r="J220" i="8"/>
  <c r="L220" i="8" s="1"/>
  <c r="L174" i="8"/>
  <c r="J120" i="8"/>
  <c r="L120" i="8" s="1"/>
  <c r="J119" i="8"/>
  <c r="L62" i="8"/>
  <c r="J416" i="8"/>
  <c r="J226" i="8"/>
  <c r="L226" i="8" s="1"/>
  <c r="J218" i="8"/>
  <c r="L218" i="8" s="1"/>
  <c r="J221" i="8"/>
  <c r="L221" i="8" s="1"/>
  <c r="L189" i="8"/>
  <c r="L438" i="8"/>
  <c r="L444" i="8"/>
  <c r="J445" i="8"/>
  <c r="L445" i="8" s="1"/>
  <c r="L415" i="8" l="1"/>
  <c r="K93" i="8"/>
  <c r="F472" i="8"/>
  <c r="K472" i="8"/>
  <c r="F471" i="8"/>
  <c r="K471" i="8"/>
  <c r="K440" i="8"/>
  <c r="J440" i="8"/>
  <c r="F440" i="8"/>
  <c r="J147" i="8"/>
  <c r="L147" i="8" s="1"/>
  <c r="J85" i="8"/>
  <c r="J374" i="8"/>
  <c r="J428" i="8"/>
  <c r="J55" i="8"/>
  <c r="L55" i="8" s="1"/>
  <c r="L169" i="8"/>
  <c r="L59" i="8"/>
  <c r="K441" i="8"/>
  <c r="J446" i="8"/>
  <c r="F446" i="8"/>
  <c r="K446" i="8"/>
  <c r="F441" i="8"/>
  <c r="F85" i="8"/>
  <c r="L119" i="8"/>
  <c r="F411" i="8"/>
  <c r="L91" i="8"/>
  <c r="J93" i="8"/>
  <c r="D94" i="8"/>
  <c r="F93" i="8"/>
  <c r="L416" i="8"/>
  <c r="F487" i="8" l="1"/>
  <c r="F6" i="8" s="1"/>
  <c r="K94" i="8"/>
  <c r="K116" i="8" s="1"/>
  <c r="K430" i="8" s="1"/>
  <c r="I4" i="8" s="1"/>
  <c r="G482" i="8" s="1"/>
  <c r="J471" i="8"/>
  <c r="L471" i="8" s="1"/>
  <c r="J472" i="8"/>
  <c r="L472" i="8" s="1"/>
  <c r="L440" i="8"/>
  <c r="L85" i="8"/>
  <c r="L93" i="8"/>
  <c r="J441" i="8"/>
  <c r="J447" i="8"/>
  <c r="F447" i="8"/>
  <c r="K447" i="8"/>
  <c r="L446" i="8"/>
  <c r="L374" i="8"/>
  <c r="L428" i="8"/>
  <c r="L411" i="8"/>
  <c r="F94" i="8"/>
  <c r="F116" i="8" s="1"/>
  <c r="J94" i="8"/>
  <c r="J116" i="8" s="1"/>
  <c r="K452" i="8" l="1"/>
  <c r="K463" i="8"/>
  <c r="I5" i="8" s="1"/>
  <c r="K5" i="8" s="1"/>
  <c r="L94" i="8"/>
  <c r="J430" i="8"/>
  <c r="F430" i="8"/>
  <c r="F4" i="8" s="1"/>
  <c r="L441" i="8"/>
  <c r="F452" i="8"/>
  <c r="L447" i="8"/>
  <c r="K4" i="8"/>
  <c r="G483" i="8" l="1"/>
  <c r="K483" i="8" s="1"/>
  <c r="F463" i="8"/>
  <c r="F5" i="8" s="1"/>
  <c r="J452" i="8"/>
  <c r="J463" i="8" s="1"/>
  <c r="L116" i="8"/>
  <c r="H4" i="8"/>
  <c r="J4" i="8" s="1"/>
  <c r="L4" i="8" s="1"/>
  <c r="L430" i="8" l="1"/>
  <c r="D482" i="8"/>
  <c r="F10" i="8"/>
  <c r="D15" i="8" s="1"/>
  <c r="I15" i="8" s="1"/>
  <c r="K15" i="8" s="1"/>
  <c r="L15" i="8" s="1"/>
  <c r="L452" i="8"/>
  <c r="L483" i="8"/>
  <c r="G484" i="8"/>
  <c r="K482" i="8" l="1"/>
  <c r="K484" i="8"/>
  <c r="G485" i="8"/>
  <c r="L482" i="8" l="1"/>
  <c r="K485" i="8"/>
  <c r="L484" i="8"/>
  <c r="L485" i="8" l="1"/>
  <c r="L463" i="8" l="1"/>
  <c r="H5" i="8"/>
  <c r="J5" i="8" s="1"/>
  <c r="G481" i="8" l="1"/>
  <c r="J481" i="8" s="1"/>
  <c r="L5" i="8"/>
  <c r="L481" i="8" l="1"/>
  <c r="K479" i="8" l="1"/>
  <c r="K487" i="8" s="1"/>
  <c r="L479" i="8" l="1"/>
  <c r="J478" i="8"/>
  <c r="J487" i="8" s="1"/>
  <c r="L487" i="8" s="1"/>
  <c r="I6" i="8" l="1"/>
  <c r="K6" i="8" s="1"/>
  <c r="K10" i="8" s="1"/>
  <c r="K18" i="8" s="1"/>
  <c r="L478" i="8"/>
  <c r="E16" i="8" l="1"/>
  <c r="E17" i="8" s="1"/>
  <c r="I17" i="8" s="1"/>
  <c r="K17" i="8" s="1"/>
  <c r="L17" i="8" s="1"/>
  <c r="H6" i="8"/>
  <c r="J6" i="8" s="1"/>
  <c r="I16" i="8" l="1"/>
  <c r="K16" i="8" s="1"/>
  <c r="L16" i="8" s="1"/>
  <c r="E14" i="8"/>
  <c r="H14" i="8" s="1"/>
  <c r="J14" i="8" s="1"/>
  <c r="L6" i="8"/>
  <c r="J10" i="8"/>
  <c r="L10" i="8" l="1"/>
  <c r="K19" i="8"/>
  <c r="E20" i="8" s="1"/>
  <c r="I20" i="8" s="1"/>
  <c r="K20" i="8" s="1"/>
  <c r="K21" i="8" s="1"/>
  <c r="L21" i="8" s="1"/>
  <c r="J11" i="8"/>
  <c r="J18" i="8"/>
  <c r="L18" i="8" s="1"/>
  <c r="L14" i="8"/>
  <c r="J19" i="8" l="1"/>
  <c r="L19" i="8" s="1"/>
</calcChain>
</file>

<file path=xl/sharedStrings.xml><?xml version="1.0" encoding="utf-8"?>
<sst xmlns="http://schemas.openxmlformats.org/spreadsheetml/2006/main" count="1308" uniqueCount="506">
  <si>
    <t>Označení
pozice</t>
  </si>
  <si>
    <t>Název specifikace, poznámka</t>
  </si>
  <si>
    <t>Měrná
jednotka</t>
  </si>
  <si>
    <t>Množství
jednotek</t>
  </si>
  <si>
    <t>Hmotnost
[kg]
měrná jednotka</t>
  </si>
  <si>
    <t>Hmotnost
[kg]
celkem</t>
  </si>
  <si>
    <t>Cenová
jednotka</t>
  </si>
  <si>
    <t>Přesná cena
[Kč]
dodávka</t>
  </si>
  <si>
    <t>Přesná cena
[Kč]
montáž</t>
  </si>
  <si>
    <t>Zaokr. cena
[Kč]
dodávka</t>
  </si>
  <si>
    <t>Zaokr. Cena
[Kč]
montáž</t>
  </si>
  <si>
    <t>Cena
[Kč]
dodávka + montáž</t>
  </si>
  <si>
    <t>REKAPITULACE:</t>
  </si>
  <si>
    <t>I</t>
  </si>
  <si>
    <t>sada</t>
  </si>
  <si>
    <t>II</t>
  </si>
  <si>
    <t>III</t>
  </si>
  <si>
    <t>SOUČTY         :</t>
  </si>
  <si>
    <t>Označení pozice</t>
  </si>
  <si>
    <t>DOPRAVA mimostaveništní</t>
  </si>
  <si>
    <t>[%]</t>
  </si>
  <si>
    <t>PŘESUN</t>
  </si>
  <si>
    <t>[q]</t>
  </si>
  <si>
    <t>PPV</t>
  </si>
  <si>
    <t>PPJP</t>
  </si>
  <si>
    <t>ZRN, CELKEM</t>
  </si>
  <si>
    <t>ZAŘÍZENÍ STAVENIŠTĚ</t>
  </si>
  <si>
    <t>VRN, CELKEM</t>
  </si>
  <si>
    <t>Označ.</t>
  </si>
  <si>
    <t>Název - norma - výkres</t>
  </si>
  <si>
    <t>Měrná</t>
  </si>
  <si>
    <t>Množství</t>
  </si>
  <si>
    <t>Základ</t>
  </si>
  <si>
    <t>Cenová</t>
  </si>
  <si>
    <t>Přesná cena  [Kč]</t>
  </si>
  <si>
    <t>Zaokrouhlená cena  [Kč]</t>
  </si>
  <si>
    <t>Cena  [Kč]</t>
  </si>
  <si>
    <t>Pozice</t>
  </si>
  <si>
    <t>Poznámka</t>
  </si>
  <si>
    <t>jedn.</t>
  </si>
  <si>
    <t>jednotek</t>
  </si>
  <si>
    <t>[Kč]</t>
  </si>
  <si>
    <t>Dodávka</t>
  </si>
  <si>
    <t>Montáž</t>
  </si>
  <si>
    <t>Dodávka+Montáž</t>
  </si>
  <si>
    <t>ZAŘÍZENÍ - POZICE 1 AŽ 15</t>
  </si>
  <si>
    <t>Název - norma - výkres - poznámka</t>
  </si>
  <si>
    <t>Cena za jednotku
[Kč]
dodávka</t>
  </si>
  <si>
    <t>Cena za jednotku
[Kč]
montáž</t>
  </si>
  <si>
    <t>Celková cena
[Kč]
dodávka</t>
  </si>
  <si>
    <t>Celková cena
[Kč]
montáž</t>
  </si>
  <si>
    <t>Celková cena
[Kč]
dodávka + montáž</t>
  </si>
  <si>
    <t>Stroje a aparáty:</t>
  </si>
  <si>
    <t>ks</t>
  </si>
  <si>
    <t>2</t>
  </si>
  <si>
    <t>3</t>
  </si>
  <si>
    <t>4</t>
  </si>
  <si>
    <t>SOUČTY:</t>
  </si>
  <si>
    <t>Regulační přístroje</t>
  </si>
  <si>
    <r>
      <t>Přístroje pro NH</t>
    </r>
    <r>
      <rPr>
        <i/>
        <vertAlign val="subscript"/>
        <sz val="10"/>
        <rFont val="Arial CE"/>
        <family val="2"/>
        <charset val="238"/>
      </rPr>
      <t>3</t>
    </r>
    <r>
      <rPr>
        <i/>
        <sz val="10"/>
        <rFont val="Arial CE"/>
        <family val="2"/>
        <charset val="238"/>
      </rPr>
      <t xml:space="preserve"> čerpadla</t>
    </r>
  </si>
  <si>
    <t>Přístroje místního měření</t>
  </si>
  <si>
    <t>Místní přístroje pro nízkotlaký sběrač chladiva</t>
  </si>
  <si>
    <t>Manometrový ventil B-M20x1,5-ČSN 13 7517.4</t>
  </si>
  <si>
    <t>Nástavec D2-M20x1,5 LH ČSN 13 7524.0</t>
  </si>
  <si>
    <t>Přípojka A-M20x1,5 -ČSN 13 7524.1</t>
  </si>
  <si>
    <t>Těsnění 20 ČSN 13 7540.1</t>
  </si>
  <si>
    <t>Chladivová armatura</t>
  </si>
  <si>
    <r>
      <t>Neizolované NH</t>
    </r>
    <r>
      <rPr>
        <b/>
        <vertAlign val="subscript"/>
        <sz val="10"/>
        <rFont val="Arial CE"/>
        <family val="2"/>
        <charset val="238"/>
      </rPr>
      <t xml:space="preserve">3 </t>
    </r>
    <r>
      <rPr>
        <b/>
        <sz val="10"/>
        <rFont val="Arial CE"/>
        <family val="2"/>
        <charset val="238"/>
      </rPr>
      <t>potrubí:</t>
    </r>
  </si>
  <si>
    <t>bm</t>
  </si>
  <si>
    <t>kg, m</t>
  </si>
  <si>
    <t>Tlakové zkoušky potrubí</t>
  </si>
  <si>
    <t>h</t>
  </si>
  <si>
    <t>Montážní materiál:</t>
  </si>
  <si>
    <t>Montážní materiál - ocelové profily</t>
  </si>
  <si>
    <t>kg</t>
  </si>
  <si>
    <t>Montážní materiál - třmeny, objímky izolované potrubí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</si>
  <si>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</si>
  <si>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kg, m</t>
    </r>
    <r>
      <rPr>
        <vertAlign val="superscript"/>
        <sz val="10"/>
        <rFont val="Arial CE"/>
        <family val="2"/>
        <charset val="238"/>
      </rPr>
      <t>2</t>
    </r>
  </si>
  <si>
    <t>Ostatní výkony</t>
  </si>
  <si>
    <t>Výchozí revize - tlaková</t>
  </si>
  <si>
    <t>Uvedeni do provozu:</t>
  </si>
  <si>
    <t>1. chladicí okruh (1.st.)</t>
  </si>
  <si>
    <t>Projektová a inženýrská činnost</t>
  </si>
  <si>
    <t>Suma za kapitolu</t>
  </si>
  <si>
    <t>Inženýrská činnost</t>
  </si>
  <si>
    <t>Tepelné izolace aparátů a potrubí:</t>
  </si>
  <si>
    <t>Sazba:</t>
  </si>
  <si>
    <t>Zákl. [Kč]:</t>
  </si>
  <si>
    <t>Strojovna chlazení</t>
  </si>
  <si>
    <t>kpl</t>
  </si>
  <si>
    <t>FV1</t>
  </si>
  <si>
    <t>2.2</t>
  </si>
  <si>
    <t>2.1</t>
  </si>
  <si>
    <t>2.1.1</t>
  </si>
  <si>
    <t>2.1.3</t>
  </si>
  <si>
    <t>3.1</t>
  </si>
  <si>
    <t>3.2</t>
  </si>
  <si>
    <t>3.3</t>
  </si>
  <si>
    <t>Rychlouzavírací odolejovací ventil
Danfoss QDV 15; 148H3272
Fitinky pro připojení hadice; 2469+065
Fitinky pro přivaření; 2469+066</t>
  </si>
  <si>
    <t>5</t>
  </si>
  <si>
    <t>Oblouk 3D-90°-26,9x2,6; 12 021.1;
ČSN EN 10253-1</t>
  </si>
  <si>
    <t>Obl. DK 3-26,9;  A=85 mm + 100 mm volné
konce; 12 021.1, 
TDP ČSN 42 0251.63;
v.č. 4-16-152-1</t>
  </si>
  <si>
    <t>Distanční plech; v.č.2-16-153-1</t>
  </si>
  <si>
    <t>6</t>
  </si>
  <si>
    <t>7</t>
  </si>
  <si>
    <t>8</t>
  </si>
  <si>
    <t>Oblouk 3D-90°-21,3x2,6; 12 021.1;
ČSN EN 10253-1</t>
  </si>
  <si>
    <t>Oblouk 3D-90°-33,7x2,6; 12 021.1;
ČSN EN 10253-1</t>
  </si>
  <si>
    <t>Oblouk 3D-90°-42,4x2,6; 12 021.1;
ČSN EN 10253-1</t>
  </si>
  <si>
    <t>Oblouk 3D-90°-60,3x2,9; 12 021.1;
ČSN EN 10253-1</t>
  </si>
  <si>
    <t>Oblouk 3D-90°-76,1x3,2; 12 021.1;
ČSN EN 10253-1</t>
  </si>
  <si>
    <t>Oblouk 3D-90°-139,7x4,5; 12 021.1;
ČSN EN 10253-1</t>
  </si>
  <si>
    <t>Koncentrický přechod - tvar 2
76,1x3,2-60,3x2,9; 12 021,1
ČSN EN 10253-1</t>
  </si>
  <si>
    <t>Oblouk 3D-90°-219,1x6,3; 12 021.1;
ČSN EN 10253-1</t>
  </si>
  <si>
    <t>Dřevěná podložka pod EN 200x150x50 
tvrdé mořené dřevo</t>
  </si>
  <si>
    <t>K1</t>
  </si>
  <si>
    <t>Ledová plocha, propojovací a rozvodný kanál LP:</t>
  </si>
  <si>
    <t>1-RP-65</t>
  </si>
  <si>
    <t>2-RR-125</t>
  </si>
  <si>
    <t>Návarek 1"; 027F1010</t>
  </si>
  <si>
    <t>2.3</t>
  </si>
  <si>
    <t>Filtr Danfoss, rohový
FIA 125 D ANG; 148H3060, 148H3141</t>
  </si>
  <si>
    <t>ICAD 600 ACTUATOR; 027H1200</t>
  </si>
  <si>
    <t>Multi-function tool; 027H0180</t>
  </si>
  <si>
    <t>2.1.2</t>
  </si>
  <si>
    <t>2.2.1</t>
  </si>
  <si>
    <t>Těsnicí kroužek 17x22x1,5 ČSN 02 9310.3</t>
  </si>
  <si>
    <t>3.5</t>
  </si>
  <si>
    <t>3.6</t>
  </si>
  <si>
    <t>3.7</t>
  </si>
  <si>
    <t>P1.1
P1.2</t>
  </si>
  <si>
    <t>S1</t>
  </si>
  <si>
    <t>R1</t>
  </si>
  <si>
    <t>Příruby 1/2", 27N1115</t>
  </si>
  <si>
    <t>Koncentrický přechod - tvar 2
88,9x3,6-76,1x3,2; 12 021,1
ČSN EN 10253-1</t>
  </si>
  <si>
    <t>Oblouk 3D-90°-88,9x3,6; 12 021.1;
ČSN EN 10253-1</t>
  </si>
  <si>
    <t>Koncentrický přechod - tvar 2
114,3x4-88,9x3,6; 12 021,1
ČSN EN 10253-1</t>
  </si>
  <si>
    <t>Koncentrický přechod - tvar 2
88,9x3,6-60,3x2,9; 12 021,1
ČSN EN 10253-1</t>
  </si>
  <si>
    <t>Příruba ČSN EN 1092-1/11 C/DN 100/PN40
pero</t>
  </si>
  <si>
    <t>Zaslepovací příruba 
ČSN EN 1092-1/05 D/DN 100/PN40; drážka</t>
  </si>
  <si>
    <t>Příruba ČSN EN 1092-1/11 C/DN 15/PN40
pero</t>
  </si>
  <si>
    <t>Zaslepovací příruba 
ČSN EN 1092-1/11 D/DN 15/PN40
drážka</t>
  </si>
  <si>
    <t>m</t>
  </si>
  <si>
    <t>Potrubí</t>
  </si>
  <si>
    <t>Základní a konečné nátěry potrubí a rozdělovacích a sběracích kolektorů
- bez trubkového systému LP</t>
  </si>
  <si>
    <t>Nátěry - základní nátěr izolovaného potrubí ve strojovně</t>
  </si>
  <si>
    <t>Nátěry - neizolovaného potrubí ve strojovně</t>
  </si>
  <si>
    <t>1</t>
  </si>
  <si>
    <t>Projektová dokumentace pro provádění stavby</t>
  </si>
  <si>
    <t>Naplně chladiva R717, kontejner à 500 kg</t>
  </si>
  <si>
    <t>Náplň mazacího oleje pro kompresory (barel)</t>
  </si>
  <si>
    <t>Koncentrický přechod - tvar 2
76,1x3,2-48,3x2,6; 12 021,1
ČSN EN 10253-1</t>
  </si>
  <si>
    <t>Přímý regulační ventil Danfoss 
REG-SB 20 D STR CAP; 148B5329</t>
  </si>
  <si>
    <t>OV/15</t>
  </si>
  <si>
    <t>UV/15</t>
  </si>
  <si>
    <t>RV/20</t>
  </si>
  <si>
    <t>Přímý uzavírací ventil Danfoss 
SVA-S 15 D STR CAP; 148B5211</t>
  </si>
  <si>
    <t>Dno DN 20 PN 40 ČSN 13 1815; 11 416.1</t>
  </si>
  <si>
    <t>1-RP-20</t>
  </si>
  <si>
    <t>C1</t>
  </si>
  <si>
    <t>Al těsnění ; 084H4547</t>
  </si>
  <si>
    <t>1.2</t>
  </si>
  <si>
    <t>Stroje a aparáty na využití odpadního tepla:</t>
  </si>
  <si>
    <t>C2</t>
  </si>
  <si>
    <t>H1</t>
  </si>
  <si>
    <t>H2</t>
  </si>
  <si>
    <t>H3</t>
  </si>
  <si>
    <t>P2.1
P2.2</t>
  </si>
  <si>
    <t>P3</t>
  </si>
  <si>
    <r>
      <t>Vyrovnávací a doplňovací nádrž na vodu 
Objem 18 litrů</t>
    </r>
    <r>
      <rPr>
        <vertAlign val="superscript"/>
        <sz val="10"/>
        <rFont val="Arial CE"/>
        <family val="2"/>
        <charset val="238"/>
      </rPr>
      <t xml:space="preserve">
</t>
    </r>
    <r>
      <rPr>
        <sz val="10"/>
        <rFont val="Arial CE"/>
        <charset val="238"/>
      </rPr>
      <t>300 x 200 x 300 mm; Nerez
v.č.4-16-184-1</t>
    </r>
  </si>
  <si>
    <t>R2</t>
  </si>
  <si>
    <t>FV2</t>
  </si>
  <si>
    <t>FV3</t>
  </si>
  <si>
    <t>R3</t>
  </si>
  <si>
    <t>2.1.4/
ZV50</t>
  </si>
  <si>
    <t>Přístroje pro kondenzátor</t>
  </si>
  <si>
    <t>2.3.1/
RV32</t>
  </si>
  <si>
    <t>2.3.2/
HV25-25</t>
  </si>
  <si>
    <t>2.3.3</t>
  </si>
  <si>
    <r>
      <t xml:space="preserve">Příruby 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", 27N1115</t>
    </r>
  </si>
  <si>
    <t>Cívka 12 W, 18F6801</t>
  </si>
  <si>
    <t>2.5/ZV65</t>
  </si>
  <si>
    <t>2.6/Y3</t>
  </si>
  <si>
    <t>2.7/Y15</t>
  </si>
  <si>
    <t>Smyčka D ČSN 13 7530.7druh D</t>
  </si>
  <si>
    <t>MV</t>
  </si>
  <si>
    <t>MK</t>
  </si>
  <si>
    <t>3.8</t>
  </si>
  <si>
    <t>UV/6</t>
  </si>
  <si>
    <t>UV-R/10</t>
  </si>
  <si>
    <t>SV</t>
  </si>
  <si>
    <t>UV/25</t>
  </si>
  <si>
    <t>UV-R/25</t>
  </si>
  <si>
    <t>UV/50</t>
  </si>
  <si>
    <t>UV-R/50</t>
  </si>
  <si>
    <t>UV/32</t>
  </si>
  <si>
    <t>UV/65</t>
  </si>
  <si>
    <t>UV/80</t>
  </si>
  <si>
    <t>UV/125</t>
  </si>
  <si>
    <t>UV-R/125</t>
  </si>
  <si>
    <t>RV/32</t>
  </si>
  <si>
    <t>RV/10</t>
  </si>
  <si>
    <t>RV/25</t>
  </si>
  <si>
    <t>TV/20+
2xPV/15</t>
  </si>
  <si>
    <t>TV/25+
2xPV/20</t>
  </si>
  <si>
    <t>TV/32+
2xPV/25</t>
  </si>
  <si>
    <t>F/50</t>
  </si>
  <si>
    <t>F-R/125</t>
  </si>
  <si>
    <t>KK/80</t>
  </si>
  <si>
    <t>Vsuvka ČSN EN 10242-N8-1-Zn-A 
(13 8200) (dříve ČSN 13 8243.1)</t>
  </si>
  <si>
    <r>
      <t>PV/
1"x1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</t>
    </r>
  </si>
  <si>
    <t>KK/1"</t>
  </si>
  <si>
    <r>
      <t xml:space="preserve">KK/
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>/</t>
    </r>
    <r>
      <rPr>
        <vertAlign val="subscript"/>
        <sz val="10"/>
        <rFont val="Arial CE"/>
        <charset val="238"/>
      </rPr>
      <t>8</t>
    </r>
    <r>
      <rPr>
        <sz val="10"/>
        <rFont val="Arial CE"/>
        <family val="2"/>
        <charset val="238"/>
      </rPr>
      <t>"</t>
    </r>
  </si>
  <si>
    <r>
      <t xml:space="preserve">KK/
</t>
    </r>
    <r>
      <rPr>
        <vertAlign val="superscript"/>
        <sz val="10"/>
        <rFont val="Arial CE"/>
        <charset val="238"/>
      </rPr>
      <t>1</t>
    </r>
    <r>
      <rPr>
        <sz val="10"/>
        <rFont val="Arial CE"/>
        <family val="2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>"</t>
    </r>
  </si>
  <si>
    <r>
      <t>KK/
32(1</t>
    </r>
    <r>
      <rPr>
        <vertAlign val="superscript"/>
        <sz val="10"/>
        <rFont val="Arial CE"/>
        <charset val="238"/>
      </rPr>
      <t>1</t>
    </r>
    <r>
      <rPr>
        <sz val="10"/>
        <rFont val="Arial CE"/>
        <family val="2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family val="2"/>
        <charset val="238"/>
      </rPr>
      <t>")</t>
    </r>
  </si>
  <si>
    <r>
      <t>ZV/
32 (1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")</t>
    </r>
  </si>
  <si>
    <r>
      <t>Vsuvka ČSN EN 10242-N8-1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-Zn-A 
(13 8200) (dříve ČSN 13 8243.1)</t>
    </r>
  </si>
  <si>
    <t>UK/
40</t>
  </si>
  <si>
    <r>
      <t xml:space="preserve">FV/
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>/</t>
    </r>
    <r>
      <rPr>
        <vertAlign val="subscript"/>
        <sz val="10"/>
        <rFont val="Arial CE"/>
        <charset val="238"/>
      </rPr>
      <t>8</t>
    </r>
    <r>
      <rPr>
        <sz val="10"/>
        <rFont val="Arial CE"/>
        <family val="2"/>
        <charset val="238"/>
      </rPr>
      <t>"</t>
    </r>
  </si>
  <si>
    <r>
      <t>Plovákový ventill DN 10 (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>/</t>
    </r>
    <r>
      <rPr>
        <vertAlign val="subscript"/>
        <sz val="10"/>
        <rFont val="Arial CE"/>
        <family val="2"/>
        <charset val="238"/>
      </rPr>
      <t>8</t>
    </r>
    <r>
      <rPr>
        <sz val="10"/>
        <rFont val="Arial CE"/>
        <charset val="238"/>
      </rPr>
      <t>") včetně plováku
PV051538</t>
    </r>
  </si>
  <si>
    <t>Dno DN 15 PN 100 ČSN 13 1815; 11 416.1</t>
  </si>
  <si>
    <t>Koncentrický přechod - tvar 2
60,3x2,9-48,3x2,6; 12 021,1
ČSN EN 10253-1</t>
  </si>
  <si>
    <t>Příruba ČSN EN 1092-1/11 D/DN 80/PN40
drážka</t>
  </si>
  <si>
    <r>
      <t>Izolované NH</t>
    </r>
    <r>
      <rPr>
        <b/>
        <vertAlign val="subscript"/>
        <sz val="10"/>
        <rFont val="Arial CE"/>
        <charset val="238"/>
      </rPr>
      <t>3</t>
    </r>
    <r>
      <rPr>
        <b/>
        <sz val="10"/>
        <rFont val="Arial CE"/>
        <family val="2"/>
        <charset val="238"/>
      </rPr>
      <t xml:space="preserve"> potrubí:</t>
    </r>
  </si>
  <si>
    <t>Izolované ocelové vodní potrubí</t>
  </si>
  <si>
    <t>Oblouk 3D-90°-48,3x2,6; 11 353.1;
ČSN EN 10253-1</t>
  </si>
  <si>
    <t>Koncentrický přechod - tvar 2
60,3x2,9-48,3x2,6; 11 353,1
ČSN EN 10253-1</t>
  </si>
  <si>
    <t>Příruba ČSN EN 1092-1/01 B/DN 40/PN40; lišta B</t>
  </si>
  <si>
    <t>Šroubení ČSN EN 10242-U12-1-Zn-A 
(13 8200) (dříve ČSN 13 8261.1)</t>
  </si>
  <si>
    <r>
      <t xml:space="preserve">Přivařovací nátrubek s vnějším závitem na
jednom konci G 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8</t>
    </r>
    <r>
      <rPr>
        <sz val="10"/>
        <rFont val="Arial CE"/>
        <charset val="238"/>
      </rPr>
      <t>"</t>
    </r>
  </si>
  <si>
    <r>
      <t xml:space="preserve">Přivařovací nátrubek s vnějším závitem na
jednom konci G 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"</t>
    </r>
  </si>
  <si>
    <t>Přivařovací nátrubek s vnějším závitem na
jednom konci G 1"</t>
  </si>
  <si>
    <t>Šroubení ČSN EN 10242-U11-3/8-Zn-A 
(13 8200) (dříve ČSN 13 8260.1)</t>
  </si>
  <si>
    <t>Vsuvka ČSN EN 10242-N8-3/8-Zn-A 
(13 8200) (dříve ČSN 13 8243.1)</t>
  </si>
  <si>
    <r>
      <t>Neizolované ocelové vodní</t>
    </r>
    <r>
      <rPr>
        <b/>
        <vertAlign val="subscript"/>
        <sz val="10"/>
        <rFont val="Arial CE"/>
        <family val="2"/>
        <charset val="238"/>
      </rPr>
      <t xml:space="preserve"> </t>
    </r>
    <r>
      <rPr>
        <b/>
        <sz val="10"/>
        <rFont val="Arial CE"/>
        <family val="2"/>
        <charset val="238"/>
      </rPr>
      <t>potrubí:</t>
    </r>
  </si>
  <si>
    <t>Neizolované PP vodní potrubí</t>
  </si>
  <si>
    <r>
      <t xml:space="preserve">Koleno 90° PP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40</t>
    </r>
    <r>
      <rPr>
        <sz val="10"/>
        <rFont val="Arial CE"/>
        <charset val="238"/>
      </rPr>
      <t>; kod 727100109</t>
    </r>
  </si>
  <si>
    <t>Koleno 90° PP Ø63; kod 727100111</t>
  </si>
  <si>
    <r>
      <t xml:space="preserve">Víčko PP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</t>
    </r>
    <r>
      <rPr>
        <sz val="10"/>
        <rFont val="Arial CE"/>
        <charset val="238"/>
      </rPr>
      <t>; kod 727960111</t>
    </r>
  </si>
  <si>
    <r>
      <t xml:space="preserve">Spojka PP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40</t>
    </r>
    <r>
      <rPr>
        <sz val="10"/>
        <rFont val="Arial CE"/>
        <charset val="238"/>
      </rPr>
      <t>; kod 727910109</t>
    </r>
  </si>
  <si>
    <t>Spojka PP Ø63; kod 727910111</t>
  </si>
  <si>
    <r>
      <t xml:space="preserve">Spojka PP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32</t>
    </r>
    <r>
      <rPr>
        <sz val="10"/>
        <rFont val="Arial CE"/>
        <charset val="238"/>
      </rPr>
      <t>; kod 727910108</t>
    </r>
  </si>
  <si>
    <t>Izolované PP vodní potrubí</t>
  </si>
  <si>
    <r>
      <t xml:space="preserve">Koleno 90° PP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32</t>
    </r>
    <r>
      <rPr>
        <sz val="10"/>
        <rFont val="Arial CE"/>
        <charset val="238"/>
      </rPr>
      <t>; kod 727100108</t>
    </r>
  </si>
  <si>
    <r>
      <t xml:space="preserve">T 90° souměrné PP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40</t>
    </r>
    <r>
      <rPr>
        <sz val="10"/>
        <rFont val="Arial CE"/>
        <charset val="238"/>
      </rPr>
      <t>; kod 727200109</t>
    </r>
  </si>
  <si>
    <r>
      <t xml:space="preserve">T 90° souměrné PP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</t>
    </r>
    <r>
      <rPr>
        <sz val="10"/>
        <rFont val="Arial CE"/>
        <charset val="238"/>
      </rPr>
      <t>; kod 727200111</t>
    </r>
  </si>
  <si>
    <r>
      <t xml:space="preserve">Spojka PP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20; kod 727910106</t>
    </r>
  </si>
  <si>
    <t>Komponenty pro PP vodní potrubí</t>
  </si>
  <si>
    <r>
      <t xml:space="preserve">Přechodová spojka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40</t>
    </r>
    <r>
      <rPr>
        <sz val="10"/>
        <rFont val="Arial CE"/>
        <charset val="238"/>
      </rPr>
      <t>-Rp1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"; 
kod 727910209</t>
    </r>
  </si>
  <si>
    <t>Komponenty pro připojení čerpadla P3:</t>
  </si>
  <si>
    <r>
      <t xml:space="preserve">Přechodová spojka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50</t>
    </r>
    <r>
      <rPr>
        <sz val="10"/>
        <rFont val="Arial CE"/>
        <charset val="238"/>
      </rPr>
      <t>-Rp1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"; 
kod 727910210</t>
    </r>
  </si>
  <si>
    <r>
      <t xml:space="preserve">Připojení ventilu, kohoutu </t>
    </r>
    <r>
      <rPr>
        <i/>
        <vertAlign val="superscript"/>
        <sz val="10"/>
        <rFont val="Arial CE"/>
        <charset val="238"/>
      </rPr>
      <t>3</t>
    </r>
    <r>
      <rPr>
        <i/>
        <sz val="10"/>
        <rFont val="Arial CE"/>
        <charset val="238"/>
      </rPr>
      <t>/</t>
    </r>
    <r>
      <rPr>
        <i/>
        <vertAlign val="subscript"/>
        <sz val="10"/>
        <rFont val="Arial CE"/>
        <charset val="238"/>
      </rPr>
      <t>8</t>
    </r>
    <r>
      <rPr>
        <i/>
        <sz val="10"/>
        <rFont val="Arial CE"/>
        <charset val="238"/>
      </rPr>
      <t xml:space="preserve">" </t>
    </r>
  </si>
  <si>
    <r>
      <t xml:space="preserve">Připojení ventilu, kohoutu </t>
    </r>
    <r>
      <rPr>
        <i/>
        <vertAlign val="superscript"/>
        <sz val="10"/>
        <rFont val="Arial CE"/>
        <charset val="238"/>
      </rPr>
      <t>1</t>
    </r>
    <r>
      <rPr>
        <i/>
        <sz val="10"/>
        <rFont val="Arial CE"/>
        <charset val="238"/>
      </rPr>
      <t>/</t>
    </r>
    <r>
      <rPr>
        <i/>
        <vertAlign val="subscript"/>
        <sz val="10"/>
        <rFont val="Arial CE"/>
        <charset val="238"/>
      </rPr>
      <t>2</t>
    </r>
    <r>
      <rPr>
        <i/>
        <sz val="10"/>
        <rFont val="Arial CE"/>
        <charset val="238"/>
      </rPr>
      <t xml:space="preserve">" </t>
    </r>
  </si>
  <si>
    <r>
      <t>Připojení ventilu, kohoutu 1</t>
    </r>
    <r>
      <rPr>
        <i/>
        <sz val="10"/>
        <rFont val="Arial CE"/>
        <charset val="238"/>
      </rPr>
      <t xml:space="preserve">" </t>
    </r>
  </si>
  <si>
    <r>
      <t>Připojení ventilu, kohoutu 1</t>
    </r>
    <r>
      <rPr>
        <i/>
        <vertAlign val="superscript"/>
        <sz val="10"/>
        <rFont val="Arial CE"/>
        <charset val="238"/>
      </rPr>
      <t>1</t>
    </r>
    <r>
      <rPr>
        <i/>
        <sz val="10"/>
        <rFont val="Arial CE"/>
        <charset val="238"/>
      </rPr>
      <t>/</t>
    </r>
    <r>
      <rPr>
        <i/>
        <vertAlign val="subscript"/>
        <sz val="10"/>
        <rFont val="Arial CE"/>
        <charset val="238"/>
      </rPr>
      <t>4</t>
    </r>
    <r>
      <rPr>
        <i/>
        <sz val="10"/>
        <rFont val="Arial CE"/>
        <charset val="238"/>
      </rPr>
      <t xml:space="preserve">" </t>
    </r>
  </si>
  <si>
    <r>
      <t>Připojení ventilu, kohoutu 1</t>
    </r>
    <r>
      <rPr>
        <i/>
        <vertAlign val="superscript"/>
        <sz val="10"/>
        <rFont val="Arial CE"/>
        <charset val="238"/>
      </rPr>
      <t>1</t>
    </r>
    <r>
      <rPr>
        <i/>
        <sz val="10"/>
        <rFont val="Arial CE"/>
        <charset val="238"/>
      </rPr>
      <t>/</t>
    </r>
    <r>
      <rPr>
        <i/>
        <vertAlign val="subscript"/>
        <sz val="10"/>
        <rFont val="Arial CE"/>
        <charset val="238"/>
      </rPr>
      <t>2</t>
    </r>
    <r>
      <rPr>
        <i/>
        <sz val="10"/>
        <rFont val="Arial CE"/>
        <charset val="238"/>
      </rPr>
      <t xml:space="preserve">" </t>
    </r>
  </si>
  <si>
    <t>Izolace  výměníku H1; ELTE MAX 9.4-10-8
melamin; dodávka ELTE s.r.o.</t>
  </si>
  <si>
    <t>Izolace zásobníku H3; ELTE 2500 litrů
Progresso; dodávka ELTE s.r.o.</t>
  </si>
  <si>
    <t>Kaučuková tepelné Izolace; tlouštka izolace 15 až 25 mm:</t>
  </si>
  <si>
    <t>Kaučuková tepelné Izolace; tlouštka izolace 9 až 16 mm:</t>
  </si>
  <si>
    <t>Izolace armatur DN 15</t>
  </si>
  <si>
    <t>Izolace armatur DN 25</t>
  </si>
  <si>
    <t>Izolace armatur DN 32</t>
  </si>
  <si>
    <t>Izolace armatur DN 50</t>
  </si>
  <si>
    <t>Izolace armatur DN 65</t>
  </si>
  <si>
    <t>Izolace armatur DN 80</t>
  </si>
  <si>
    <t>Izolace armatur DN 125</t>
  </si>
  <si>
    <t>Tepelná izolace potrubí Ø20x1,9; Ø21,3x2,6 
AF-2-22 (H-22)</t>
  </si>
  <si>
    <t>Tepelná izolace potrubí Ø40x3,7; 
AF-2-42 (H-42)</t>
  </si>
  <si>
    <t>Tepelná izolace potrubí Ø48.3x2.6; 
AF-2-48 (H-48)</t>
  </si>
  <si>
    <t>Tepelná izolace potrubí Ø21.3x2.6; 
AF-4-022 (M-22)</t>
  </si>
  <si>
    <t>Tepelná izolace potrubí Ø33.7x2.6;
AF-4-035 (M-35)</t>
  </si>
  <si>
    <t>Tepelná izolace potrubí Ø42.4x2.6;
AF-4-042 (M-42)</t>
  </si>
  <si>
    <t>Tepelná izolace potrubí Ø60.3x2.9;
AF-4-060 (M-60)</t>
  </si>
  <si>
    <t>Tepelná izolace potrubí Ø76.1x3.2;
AF-4-076 (M-76)</t>
  </si>
  <si>
    <t>Tepelná izolace potrubí Ø88.9x3.6;
AF-4-089 (M-89)</t>
  </si>
  <si>
    <t>Tepelná izolace potrubí Ø114.3x4;
AF-4-114 (M-114)</t>
  </si>
  <si>
    <t>Tepelná izolace potrubí Ø139.7x4.5;
AF-4-140 (M-140)</t>
  </si>
  <si>
    <t>Trubkový systém ledové plochy
Potrubí Ø26.9x2.6; ČSN 42 5715.11,
 materiál 12 021.1, TDP ČSN 42 0251.63</t>
  </si>
  <si>
    <t>Odbočky z přívodního potrubí k RK
Potrubí Ø26.9x2.6; ČSN 42 5715.11,
 materiál 12 021.1, TDP ČSN 42 0251.63</t>
  </si>
  <si>
    <t>Přívodní potrubí
Potrubí Ø76,1x3,2; ČSN 42 5715.11,
materiál 12 021.1, TDP ČSN 42 0251.63</t>
  </si>
  <si>
    <t>Zpětné potrubí
Potrubí Ø139,7x4,5; ČSN 42 5715.11,
materiál 12 021.1, TDP ČSN 42 0251.63</t>
  </si>
  <si>
    <t>Klenuté dno Ø76,1x2,0; ČSN EN 10253-1; materiál DIN 1.4541 (17 248)</t>
  </si>
  <si>
    <t>Potrubí Ø12x2; ČSN 42 6711.11,                                      materiál 12 021.1, TDP ČSN 42 0251.63</t>
  </si>
  <si>
    <t>Potrubí Ø21.3x2.6; ČSN 42 5715.11,                               materiál 12 021.1, TDP ČSN 42 0251.63</t>
  </si>
  <si>
    <t>Potrubí Ø26.9x2.6; ČSN 42 5715.11,                               materiál 12 021.1, TDP ČSN 42 0251.63</t>
  </si>
  <si>
    <t>Potrubí Ø33.7x2.6; ČSN 42 5715.11,                               materiál 12 021.1, TDP ČSN 42 0251.63</t>
  </si>
  <si>
    <t>Potrubí Ø42.4x2.6; ČSN 42 5715.11,                              materiál 12 021.1, TDP ČSN 42 0251.63</t>
  </si>
  <si>
    <t>Potrubí Ø48.3x2.6; ČSN 42 5715.11,                               materiál 12 021.1, TDP ČSN 42 0251.63</t>
  </si>
  <si>
    <t>Potrubí Ø60.3x2.9; ČSN 42 5715.11,                                 materiál 12 021.1, TDP ČSN 42 0251.63</t>
  </si>
  <si>
    <t>Potrubí Ø76.1x3.2; ČSN 42 5715.11,                                materiál 12 021.1, TDP ČSN 42 0251.63</t>
  </si>
  <si>
    <t>Potrubí Ø88.9x3.6; ČSN 42 5715.11,                                materiál 12 021.1, TDP ČSN 42 0251.63</t>
  </si>
  <si>
    <t>Potrubí Ø139.7x4.5; ČSN 42 5715.11,                             materiál 12 021.1, TDP ČSN 42 0251.63</t>
  </si>
  <si>
    <t>T kus Ø33,7-33,7-33,7; PN40;
12021.1; ČSN EN 10253-1</t>
  </si>
  <si>
    <t>T kus Ø42,4-42,4-42,4; PN40;
12021.1; ČSN EN 10253-1</t>
  </si>
  <si>
    <t>T kus Ø60,3-60,3-60,3; PN40;
12021.1; ČSN EN 10253-1</t>
  </si>
  <si>
    <t>T kus Ø88,9-76,1-88,9; PN40;
12021.1; ČSN EN 10253-1</t>
  </si>
  <si>
    <t>T kus Ø88,9-88,9-88,9; PN40;
12021.1; ČSN EN 10253-1</t>
  </si>
  <si>
    <t>Hluboce klenuté dno Ø33,7; PN40;
12021.1; ČSN EN 10253-1</t>
  </si>
  <si>
    <t>Hluboce klenuté dno Ø60,3; PN40;
12021.1; ČSN EN 10253-1</t>
  </si>
  <si>
    <t>Hluboce klenuté dno Ø76,1; PN40; 
12021.1; ČSN EN 10253-1</t>
  </si>
  <si>
    <t>Hluboce klenuté dno Ø88,9; PN40;
12021.1; ČSN EN 10253-1</t>
  </si>
  <si>
    <t>Hluboce klenuté dno Ø139,7; PN40;
12021.1; ČSN EN 10253-1</t>
  </si>
  <si>
    <t>Potrubí Ø114.3x4; ČSN 42 5715.11,                                 materiál 12 021.1, TDP ČSN 42 0251.63</t>
  </si>
  <si>
    <t>Potrubí Ø219,1x6,3; ČSN 42 5715.11,
materiál 12 021.1, TDP ČSN 42 0251.63</t>
  </si>
  <si>
    <t>T kus Ø76,1-60,3-76,1; PN40; 
12021.1; ČSN EN 10253-1</t>
  </si>
  <si>
    <t>Hluboce klenuté dno Ø114,3; PN40;
12021.1; ČSN EN 10253-1</t>
  </si>
  <si>
    <t>Hluboce klenuté dno Ø219,1; PN40;
12021.1; ČSN EN 10253-1</t>
  </si>
  <si>
    <t>Trubka Z-10-ČSN 42 5710.0 
(3/8" Ø17,5x2,35) 11 353.1, 
TDP ČSN 42 0250.1</t>
  </si>
  <si>
    <t>Trubka Z-15-ČSN 42 5710.0 
(1/2" Ø21,8x2,65) 11 353.1,
TDP ČSN 42 0250.1</t>
  </si>
  <si>
    <t>Potrubí Ø48,3x2,6; ČSN 42 5715.11,
materiál 11 353.1, TDP ČSN 42 0250.12</t>
  </si>
  <si>
    <t>Tepelná izolace potrubí Ø32x2.9; Ø33,7x2,6
AF-2-35 (H-35)</t>
  </si>
  <si>
    <t>Tepelná izolace potrubí Ø219x6,3;
AF-19MM/E (M-99/E)</t>
  </si>
  <si>
    <r>
      <t xml:space="preserve"> Veškeré studené části chladicího zařízení s nízkými provozními teplotami, t.j. potrubí a aparáty chladicího zařízení budou odpovídajícím způsobem tepelně izolovány.
Tepelně izolovány budou i teplé části okruhu ze systému využití odpadního tepla z provozu chladicího zařízení.
Síla tepelné izolace pro studené části zařízení bude navržena proti rosení zařízení
 Pro izolace bude použita kaučuková tepelná izolace se strukturou uzavřených buněk, nešířící plamen, s parotěsnou zábranou a s nízkou tepelnou vodivostí.
Hustota: </t>
    </r>
    <r>
      <rPr>
        <sz val="10"/>
        <rFont val="Arial"/>
        <family val="2"/>
        <charset val="238"/>
      </rPr>
      <t>ρ</t>
    </r>
    <r>
      <rPr>
        <sz val="10"/>
        <rFont val="Arial CE"/>
        <charset val="238"/>
      </rPr>
      <t xml:space="preserve"> = 50 až 100 kg / m3
Tepelná vodivost při -20 °C </t>
    </r>
    <r>
      <rPr>
        <sz val="10"/>
        <rFont val="Arial"/>
        <family val="2"/>
        <charset val="238"/>
      </rPr>
      <t>λ</t>
    </r>
    <r>
      <rPr>
        <sz val="10"/>
        <rFont val="Arial CE"/>
        <charset val="238"/>
      </rPr>
      <t xml:space="preserve"> = 0,034 W / m K
Tepelná vodivost při ± 0°C </t>
    </r>
    <r>
      <rPr>
        <sz val="10"/>
        <rFont val="Arial"/>
        <family val="2"/>
        <charset val="238"/>
      </rPr>
      <t>λ</t>
    </r>
    <r>
      <rPr>
        <sz val="10"/>
        <rFont val="Arial CE"/>
        <charset val="238"/>
      </rPr>
      <t xml:space="preserve"> = 0,036 W / m K
Tepelná vodivost při +40 °C </t>
    </r>
    <r>
      <rPr>
        <sz val="10"/>
        <rFont val="Arial"/>
        <family val="2"/>
        <charset val="238"/>
      </rPr>
      <t>λ</t>
    </r>
    <r>
      <rPr>
        <sz val="10"/>
        <rFont val="Arial CE"/>
        <charset val="238"/>
      </rPr>
      <t xml:space="preserve"> = 0,040 W / m K
Použitelnost do teploty, max. +105 °C
Použitelnost do teploty, min. -40 °C
Difuze vodní páry </t>
    </r>
    <r>
      <rPr>
        <sz val="10"/>
        <rFont val="Arial"/>
        <family val="2"/>
        <charset val="238"/>
      </rPr>
      <t>μ</t>
    </r>
    <r>
      <rPr>
        <sz val="10"/>
        <rFont val="Arial CE"/>
        <charset val="238"/>
      </rPr>
      <t xml:space="preserve"> </t>
    </r>
    <r>
      <rPr>
        <sz val="10"/>
        <rFont val="Arial"/>
        <family val="2"/>
        <charset val="238"/>
      </rPr>
      <t>≥</t>
    </r>
    <r>
      <rPr>
        <sz val="10"/>
        <rFont val="Arial CE"/>
        <charset val="238"/>
      </rPr>
      <t xml:space="preserve"> 7000
Požární vlastnosti: 
Stupeň hořlavosti M1, C1 dle ČSN 73 0862
Požární chování samozhášivý, nešíří plamen,  nekapající
Požární odolnost průniku stěnou do R 90
Požární odolnost průniku stropem do R 120
</t>
    </r>
  </si>
  <si>
    <t>Montážní materiál - třmeny, objímky, neizolované potrubí</t>
  </si>
  <si>
    <t>Přístroje pro nízkotlaký sběrač chladiva S1</t>
  </si>
  <si>
    <t>Teploměrná jímka, ocelová;
M20x1,5; L=65 mm</t>
  </si>
  <si>
    <t>Návarek, ocelový; L=35</t>
  </si>
  <si>
    <r>
      <t xml:space="preserve">Bimetálový teploměr přímý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63,
-30/+50 °C, L=100 mm</t>
    </r>
  </si>
  <si>
    <t>Teploměrná jímka, ocelová; 
M20x1,5; L=105 mm</t>
  </si>
  <si>
    <t>Návarek, ocelový; L=45</t>
  </si>
  <si>
    <r>
      <t xml:space="preserve">Bimetálový teploměr přímý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63,
-30/+50 °C, L=160 mm</t>
    </r>
  </si>
  <si>
    <t>Teploměrná jímka, ocelová; 
M20x1,5; L=165 mm</t>
  </si>
  <si>
    <t>Návarek, ocelový; L=60</t>
  </si>
  <si>
    <t>Bimetálový teploměr přímý TDP 63,
-50/+30 °C, L=160 mm</t>
  </si>
  <si>
    <r>
      <t>Teploměrná jímka, ocelová; 
G</t>
    </r>
    <r>
      <rPr>
        <vertAlign val="superscript"/>
        <sz val="10"/>
        <rFont val="Arial CE"/>
        <charset val="238"/>
      </rPr>
      <t>1</t>
    </r>
    <r>
      <rPr>
        <sz val="10"/>
        <rFont val="Arial CE"/>
        <family val="2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>"; L=165 mm</t>
    </r>
  </si>
  <si>
    <r>
      <t>Návarek, G</t>
    </r>
    <r>
      <rPr>
        <vertAlign val="superscript"/>
        <sz val="10"/>
        <rFont val="Arial CE"/>
        <charset val="238"/>
      </rPr>
      <t>1</t>
    </r>
    <r>
      <rPr>
        <sz val="10"/>
        <rFont val="Arial CE"/>
        <family val="2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>", ocelový; L=60</t>
    </r>
  </si>
  <si>
    <t>2.4.1/ZV15</t>
  </si>
  <si>
    <t>R4</t>
  </si>
  <si>
    <t>2.4.2/ZV25</t>
  </si>
  <si>
    <t>Vodní armatura</t>
  </si>
  <si>
    <t>Tepelná zolace nízkotlakého sběrače S1,
síla izolace 19 mm:
Teplota média: -10 °C
EN - 2 vrstvy</t>
  </si>
  <si>
    <t xml:space="preserve">Připojení ventilu, kohoutu 2" </t>
  </si>
  <si>
    <t>Komponenty pro připojení závitových hrdel H3:</t>
  </si>
  <si>
    <r>
      <t xml:space="preserve">Víčko PP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40; kod 727960109</t>
    </r>
  </si>
  <si>
    <t>3.4.1</t>
  </si>
  <si>
    <t>3.4.2</t>
  </si>
  <si>
    <t>KK-N/
50(2")</t>
  </si>
  <si>
    <r>
      <t>G/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>/</t>
    </r>
    <r>
      <rPr>
        <vertAlign val="subscript"/>
        <sz val="10"/>
        <rFont val="Arial CE"/>
        <charset val="238"/>
      </rPr>
      <t>8</t>
    </r>
    <r>
      <rPr>
        <sz val="10"/>
        <rFont val="Arial CE"/>
        <family val="2"/>
        <charset val="238"/>
      </rPr>
      <t>"</t>
    </r>
  </si>
  <si>
    <r>
      <t>Nízký návarek G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>/</t>
    </r>
    <r>
      <rPr>
        <vertAlign val="subscript"/>
        <sz val="10"/>
        <rFont val="Arial CE"/>
        <family val="2"/>
        <charset val="238"/>
      </rPr>
      <t>8</t>
    </r>
    <r>
      <rPr>
        <sz val="10"/>
        <rFont val="Arial CE"/>
        <charset val="238"/>
      </rPr>
      <t>", v.č. 4-16-027-2</t>
    </r>
  </si>
  <si>
    <t>Koncentrický přechod - tvar 2
48,3x2,6-42,4x2,6; 12 021,1
ČSN EN 10253-1</t>
  </si>
  <si>
    <t>Materiál pro síta na sání kalového čerpadla P4:</t>
  </si>
  <si>
    <t>Děrovaný nerezový plech 1.4301 (17 240)
RV / 5 / 8 / 2 x 1000 x 2000</t>
  </si>
  <si>
    <t>Materiál na vyztužení a vedení síta:</t>
  </si>
  <si>
    <t>Tyč plochá 40x8 DIN 1017 (DIN 174)
nerez 1.4301 (17 240), 1.4306 (17 249)</t>
  </si>
  <si>
    <t>Tyč L 40x40x4 DIN 1028 (DIN 1029)
nerez 1.4301 (17 240), 1.4306 (17 249)</t>
  </si>
  <si>
    <t>Tyč L 50x50x4 DIN 1028 (DIN 1029)
nerez 1.4301 (17 240), 1.4306 (17 249)</t>
  </si>
  <si>
    <t>Koncentrický přechod - tvar 2 ; 
ČSN EN 10253-1; 60,3x42,4x2x2; 
materiál DIN 1.4301 (17 240)</t>
  </si>
  <si>
    <t>Manometrový kohout DN 3
B-M20x1,5-ČSN 13 7510.5</t>
  </si>
  <si>
    <t>RK</t>
  </si>
  <si>
    <t>SK</t>
  </si>
  <si>
    <t>Equqlizéř 8-76,1…1000
Potrubí Ø8x2; DIN 17458, nerez
materiál  DIN 1.4541 (AISI 321) (17 248)
v.č. 3-16-256-1</t>
  </si>
  <si>
    <t>P4</t>
  </si>
  <si>
    <r>
      <t>Nízkotlaký sběrač chladiva VLS16020
D=1600mm, L=2000 mm, V=cca 5,15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 xml:space="preserve"> 
expanzní nádoba pracovní teplota -10 °C
Rozměrový náčrtek v.č.3-16-179-3-RN</t>
    </r>
  </si>
  <si>
    <r>
      <t>Pohotovostní sběrač chladiva HLR03511 
D=355,6 mm, L=1100 mm, V=cca 0,118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 xml:space="preserve">
v.č.4-16-203-2</t>
    </r>
  </si>
  <si>
    <t>UK/
32</t>
  </si>
  <si>
    <t>F1</t>
  </si>
  <si>
    <t>Příruby 1", 27N1225</t>
  </si>
  <si>
    <t>2.8/Y20</t>
  </si>
  <si>
    <t>Protidešťová žaluzie PRG-500W;
obj.kod SP485100070</t>
  </si>
  <si>
    <t>Ochranná mřížka DEF 500 A8;
obj.kod SP466100070</t>
  </si>
  <si>
    <t>B1.1
B1.2</t>
  </si>
  <si>
    <t>Rozdělovací kolektor
Potrubí Ø76,1x3,2; ČSN 42 5715.11,
materiál 12 021.1, TDP ČSN 42 0251.63
v.č. 1-16-262-1; Celková délka L= 3670 mm</t>
  </si>
  <si>
    <t>Sběrací kolektor
Potrubí Ø139,7x4.5; ČSN 42 5715.11,
materiál 12 021.1, TDP ČSN 42 0251.63
v.č. 1-16-262-; Celková délka L= 3740 mm</t>
  </si>
  <si>
    <t>Rozdělovací trubka oteplené vody
v.č. 4-16-173-1</t>
  </si>
  <si>
    <t>Laminátová jímka pod expanzní nádobu
rozměry 2000x2000x150 mm</t>
  </si>
  <si>
    <t>Mars žlab 250x100x2000</t>
  </si>
  <si>
    <t>Vsuvka ČSN EN 10242-N8-1/2-Zn-A 
(13 8200) (dříve ČSN 13 8243.1)</t>
  </si>
  <si>
    <r>
      <t>ZV/
25(1</t>
    </r>
    <r>
      <rPr>
        <sz val="10"/>
        <rFont val="Arial CE"/>
        <charset val="238"/>
      </rPr>
      <t>")</t>
    </r>
  </si>
  <si>
    <r>
      <t>F/
32 (1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")</t>
    </r>
  </si>
  <si>
    <t>Potrubí Ø14x2; ČSN 42 6711.11,
materiál 12 021.1, TDP ČSN 42 0251.63</t>
  </si>
  <si>
    <r>
      <t xml:space="preserve">Bimetálový teploměr přímý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63, 
±0/+120 °C, L=60 mm</t>
    </r>
  </si>
  <si>
    <t>Koncentrický přechod - tvar 2
60,3x2,9-42,4x2,6; 12 021,1
ČSN EN 10253-1</t>
  </si>
  <si>
    <t>Koncentrický přechod - tvar 2
114,3x4-60,3x2,9; 12 021,1
ČSN EN 10253-1</t>
  </si>
  <si>
    <t>Oblouk 3D-90°-114,3x4; 12 021.1;
ČSN EN 10253-1</t>
  </si>
  <si>
    <t>T kus Ø139,7-114,3-139,7; PN40;
12021.1; ČSN EN 10253-1</t>
  </si>
  <si>
    <t>Koncentrický přechod - tvar 2
26,9x2,6-21,3x2,6; 12 021,1
ČSN EN 10253-1</t>
  </si>
  <si>
    <t>Opora č.1, pozinek, v.č. 2-16-264-1</t>
  </si>
  <si>
    <t>Opora č.2, pozinek, v.č. 2-16-264-1</t>
  </si>
  <si>
    <t>Opora č.3, pozinek, v.č. 2-16-264-1</t>
  </si>
  <si>
    <t>Opora č.4, pozinek, v.č. 2-16-264-1</t>
  </si>
  <si>
    <t>T kus Ø76,1-42,4-76,1; PN40; 
12021.1; ČSN EN 10253-1</t>
  </si>
  <si>
    <t>Koncentrický přechod - tvar 2
60,3x2,9-33,7x2,6; 12 021,1
ČSN EN 10253-1</t>
  </si>
  <si>
    <t>T kus Ø60,3-33,7-60,3; PN40;
12021.1; ČSN EN 10253-1</t>
  </si>
  <si>
    <t>T kus Ø33,7-21,3-33,7; PN40;
12021.1; ČSN EN 10253-1</t>
  </si>
  <si>
    <t>Příruba ČSN EN 1092-1/01 B/DN 50/PN16; lišta B</t>
  </si>
  <si>
    <t>Příruba ČSN EN 1092-1/01 B/DN 32/PN40; lišta B</t>
  </si>
  <si>
    <r>
      <t xml:space="preserve">Spojka PP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25; kod 727910107</t>
    </r>
  </si>
  <si>
    <r>
      <t xml:space="preserve">Koleno 90° PP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25; kod 727100107</t>
    </r>
  </si>
  <si>
    <r>
      <t xml:space="preserve">T 90° souměrné PP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32</t>
    </r>
    <r>
      <rPr>
        <sz val="10"/>
        <rFont val="Arial CE"/>
        <charset val="238"/>
      </rPr>
      <t>; kod 727200108</t>
    </r>
  </si>
  <si>
    <t>Komponenty pro připojení filtru F1</t>
  </si>
  <si>
    <r>
      <t xml:space="preserve">Přechodová spojka, vsuvka PP-H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32-R1"; 
kod 727910508</t>
    </r>
  </si>
  <si>
    <r>
      <t xml:space="preserve">Připojení ventilu, kohoutu </t>
    </r>
    <r>
      <rPr>
        <i/>
        <vertAlign val="superscript"/>
        <sz val="10"/>
        <rFont val="Arial CE"/>
        <charset val="238"/>
      </rPr>
      <t>3</t>
    </r>
    <r>
      <rPr>
        <i/>
        <sz val="10"/>
        <rFont val="Arial CE"/>
        <charset val="238"/>
      </rPr>
      <t>/</t>
    </r>
    <r>
      <rPr>
        <i/>
        <vertAlign val="subscript"/>
        <sz val="10"/>
        <rFont val="Arial CE"/>
        <charset val="238"/>
      </rPr>
      <t>4</t>
    </r>
    <r>
      <rPr>
        <i/>
        <sz val="10"/>
        <rFont val="Arial CE"/>
        <charset val="238"/>
      </rPr>
      <t xml:space="preserve">" </t>
    </r>
  </si>
  <si>
    <t>Komponenty pro připojení kondenzátoru C2:</t>
  </si>
  <si>
    <r>
      <t xml:space="preserve">PP Příruba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</t>
    </r>
    <r>
      <rPr>
        <sz val="10"/>
        <rFont val="Arial CE"/>
        <charset val="238"/>
      </rPr>
      <t>/DN50; kod 727700211</t>
    </r>
  </si>
  <si>
    <r>
      <t xml:space="preserve">Lemový nákružek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</t>
    </r>
    <r>
      <rPr>
        <sz val="10"/>
        <rFont val="Arial CE"/>
        <charset val="238"/>
      </rPr>
      <t>; kod 727790211</t>
    </r>
  </si>
  <si>
    <t>Koncentrický přechod - tvar 2
ČSN EN 10253-1;114,3x60,3x2;  
materiál DIN 1.4301 (17 240)</t>
  </si>
  <si>
    <t>Oblouk 3D-90°-114,3x2,0; ČSN EN 10253-1;
materiál DIN 1.4301 (17 248)</t>
  </si>
  <si>
    <r>
      <t xml:space="preserve">Redukce PP-H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40-32; kod 727910346</t>
    </r>
  </si>
  <si>
    <r>
      <t xml:space="preserve">Dvojvsuvka PP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40; kod 727910909</t>
    </r>
  </si>
  <si>
    <r>
      <t xml:space="preserve">Trubka PP-H Ø25x2,3; (DN20; 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")
 kod 167480712</t>
    </r>
  </si>
  <si>
    <t>Trubka PP-H Ø32x2,9; (DN25; 1")
kod 167480713</t>
  </si>
  <si>
    <r>
      <t>Trubka PP-H Ø40x3,7; (DN32; 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")
 kod 167480714</t>
    </r>
  </si>
  <si>
    <t>Trubka PP-H Ø63x5,8; (DN50; 2")
 kod 167480716</t>
  </si>
  <si>
    <r>
      <t xml:space="preserve">Trubka PP-H Ø20x1,9; (DN15; 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")
kod 167480711</t>
    </r>
  </si>
  <si>
    <r>
      <t xml:space="preserve">Připojení pojistného ventilu </t>
    </r>
    <r>
      <rPr>
        <i/>
        <vertAlign val="superscript"/>
        <sz val="10"/>
        <rFont val="Arial CE"/>
        <charset val="238"/>
      </rPr>
      <t>1</t>
    </r>
    <r>
      <rPr>
        <i/>
        <sz val="10"/>
        <rFont val="Arial CE"/>
        <charset val="238"/>
      </rPr>
      <t>/</t>
    </r>
    <r>
      <rPr>
        <i/>
        <vertAlign val="subscript"/>
        <sz val="10"/>
        <rFont val="Arial CE"/>
        <charset val="238"/>
      </rPr>
      <t>2</t>
    </r>
    <r>
      <rPr>
        <i/>
        <sz val="10"/>
        <rFont val="Arial CE"/>
        <charset val="238"/>
      </rPr>
      <t xml:space="preserve">" - </t>
    </r>
    <r>
      <rPr>
        <i/>
        <vertAlign val="superscript"/>
        <sz val="10"/>
        <rFont val="Arial CE"/>
        <charset val="238"/>
      </rPr>
      <t>3</t>
    </r>
    <r>
      <rPr>
        <i/>
        <sz val="10"/>
        <rFont val="Arial CE"/>
        <charset val="238"/>
      </rPr>
      <t>/</t>
    </r>
    <r>
      <rPr>
        <i/>
        <vertAlign val="subscript"/>
        <sz val="10"/>
        <rFont val="Arial CE"/>
        <charset val="238"/>
      </rPr>
      <t>4</t>
    </r>
    <r>
      <rPr>
        <i/>
        <sz val="10"/>
        <rFont val="Arial CE"/>
        <charset val="238"/>
      </rPr>
      <t>"</t>
    </r>
  </si>
  <si>
    <r>
      <t>Připojení pojistného ventilu 1</t>
    </r>
    <r>
      <rPr>
        <i/>
        <sz val="10"/>
        <rFont val="Arial CE"/>
        <charset val="238"/>
      </rPr>
      <t>" - 1</t>
    </r>
    <r>
      <rPr>
        <i/>
        <vertAlign val="superscript"/>
        <sz val="10"/>
        <rFont val="Arial CE"/>
        <charset val="238"/>
      </rPr>
      <t>1</t>
    </r>
    <r>
      <rPr>
        <i/>
        <sz val="10"/>
        <rFont val="Arial CE"/>
        <charset val="238"/>
      </rPr>
      <t>/</t>
    </r>
    <r>
      <rPr>
        <i/>
        <vertAlign val="subscript"/>
        <sz val="10"/>
        <rFont val="Arial CE"/>
        <charset val="238"/>
      </rPr>
      <t>4</t>
    </r>
    <r>
      <rPr>
        <i/>
        <sz val="10"/>
        <rFont val="Arial CE"/>
        <charset val="238"/>
      </rPr>
      <t>"</t>
    </r>
  </si>
  <si>
    <r>
      <t xml:space="preserve">Dvojvsuvka PP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32; kod 727910908</t>
    </r>
  </si>
  <si>
    <r>
      <t xml:space="preserve">Redukce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32</t>
    </r>
    <r>
      <rPr>
        <sz val="10"/>
        <rFont val="Arial CE"/>
        <charset val="238"/>
      </rPr>
      <t>-25; kod 727910341</t>
    </r>
  </si>
  <si>
    <r>
      <t xml:space="preserve">Redukce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</t>
    </r>
    <r>
      <rPr>
        <sz val="10"/>
        <rFont val="Arial CE"/>
        <charset val="238"/>
      </rPr>
      <t>-25; kod 727910361</t>
    </r>
  </si>
  <si>
    <r>
      <t xml:space="preserve">Redukce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</t>
    </r>
    <r>
      <rPr>
        <sz val="10"/>
        <rFont val="Arial CE"/>
        <charset val="238"/>
      </rPr>
      <t>-32; kod 727910360</t>
    </r>
  </si>
  <si>
    <r>
      <t xml:space="preserve">Redukce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</t>
    </r>
    <r>
      <rPr>
        <sz val="10"/>
        <rFont val="Arial CE"/>
        <charset val="238"/>
      </rPr>
      <t>-40; kod 727910359</t>
    </r>
  </si>
  <si>
    <t>Nerezové vodní potrubí</t>
  </si>
  <si>
    <t>Oblouk 3D-90°-76,1x2,0; ČSN EN 10253-1;
materiál DIN 1.4301 (17 248)</t>
  </si>
  <si>
    <t>Trubka svařovaná Ø76,1x2; DIN 17457,
materiál  DIN 1.4301 (17 240)</t>
  </si>
  <si>
    <t>Příruba ČSN EN 1092-1/01 B/DN 65/PN10
Plochá příruba DIN 2576, PN10 
materiál DIN 1.4301 (17 248)</t>
  </si>
  <si>
    <r>
      <t xml:space="preserve">PP Příruba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75</t>
    </r>
    <r>
      <rPr>
        <sz val="10"/>
        <rFont val="Arial CE"/>
        <charset val="238"/>
      </rPr>
      <t>/DN65; kod 727700212</t>
    </r>
  </si>
  <si>
    <r>
      <t xml:space="preserve">Lemový nákružek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75</t>
    </r>
    <r>
      <rPr>
        <sz val="10"/>
        <rFont val="Arial CE"/>
        <charset val="238"/>
      </rPr>
      <t>; kod 727790212</t>
    </r>
  </si>
  <si>
    <r>
      <t xml:space="preserve">Redukce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75</t>
    </r>
    <r>
      <rPr>
        <sz val="10"/>
        <rFont val="Arial CE"/>
        <charset val="238"/>
      </rPr>
      <t>-63; kod 727910364</t>
    </r>
  </si>
  <si>
    <r>
      <t xml:space="preserve">Dvojvsuvka PP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75; kod 727910912</t>
    </r>
  </si>
  <si>
    <r>
      <t xml:space="preserve">Redukce PP-H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40-20; kod 727910348</t>
    </r>
  </si>
  <si>
    <r>
      <t xml:space="preserve">Dvojvsuvka PP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20; kod 727910906</t>
    </r>
  </si>
  <si>
    <r>
      <t xml:space="preserve">Přechodová spojka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</t>
    </r>
    <r>
      <rPr>
        <sz val="10"/>
        <rFont val="Arial CE"/>
        <charset val="238"/>
      </rPr>
      <t>-Rp2"; 
kod 727910211</t>
    </r>
  </si>
  <si>
    <r>
      <t xml:space="preserve">Dvojvsuvka PP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63; kod 727910911</t>
    </r>
  </si>
  <si>
    <r>
      <t xml:space="preserve">Přechodová vsuvka PP-H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16-R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8</t>
    </r>
    <r>
      <rPr>
        <sz val="10"/>
        <rFont val="Arial CE"/>
        <charset val="238"/>
      </rPr>
      <t>"; 
kod 727910505</t>
    </r>
  </si>
  <si>
    <r>
      <t xml:space="preserve">Přechodová vsuvka PP-H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20-R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"; 
kod 727910506</t>
    </r>
  </si>
  <si>
    <r>
      <t xml:space="preserve">Přechodová vsuvka PP-H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25-R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"; 
kod 727910507</t>
    </r>
  </si>
  <si>
    <r>
      <t xml:space="preserve">Přechodová vsuvka PP-H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32-R1"; 
kod 727910508</t>
    </r>
  </si>
  <si>
    <r>
      <t xml:space="preserve">Přechodová vsuvka PP-H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40-R1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"; 
kod 727910509</t>
    </r>
  </si>
  <si>
    <r>
      <t xml:space="preserve">Přechodová vsuvka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50</t>
    </r>
    <r>
      <rPr>
        <sz val="10"/>
        <rFont val="Arial CE"/>
        <charset val="238"/>
      </rPr>
      <t>-R1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"; 
kod 727910510</t>
    </r>
  </si>
  <si>
    <r>
      <t xml:space="preserve">Přechodová vsuvka PP-H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63</t>
    </r>
    <r>
      <rPr>
        <sz val="10"/>
        <rFont val="Arial CE"/>
        <charset val="238"/>
      </rPr>
      <t>-R2"; 
kod 727910511</t>
    </r>
  </si>
  <si>
    <t>Komponenty pro připojení čerpadla P4:</t>
  </si>
  <si>
    <t>Koleno 90° PP Ø75; kod 727100112</t>
  </si>
  <si>
    <t>Izolace  výměníku H2; AlfaNova 76-100H
Alfa Laval</t>
  </si>
  <si>
    <t>Ledová plocha - technologie</t>
  </si>
  <si>
    <t>SLEPÝ POLOŽKOVÝ ROZPOČET</t>
  </si>
  <si>
    <r>
      <t>Kompresorová jednotka se 3 šroubovými kompresory
Chladicí výkon Q</t>
    </r>
    <r>
      <rPr>
        <vertAlign val="subscript"/>
        <sz val="10"/>
        <rFont val="Arial CE"/>
        <charset val="238"/>
      </rPr>
      <t>o</t>
    </r>
    <r>
      <rPr>
        <sz val="10"/>
        <rFont val="Arial CE"/>
        <family val="2"/>
        <charset val="238"/>
      </rPr>
      <t>=3x157,3=471,9 kW
při t</t>
    </r>
    <r>
      <rPr>
        <vertAlign val="subscript"/>
        <sz val="10"/>
        <rFont val="Arial CE"/>
        <charset val="238"/>
      </rPr>
      <t>o</t>
    </r>
    <r>
      <rPr>
        <sz val="10"/>
        <rFont val="Arial CE"/>
        <family val="2"/>
        <charset val="238"/>
      </rPr>
      <t>=-10 °C a t</t>
    </r>
    <r>
      <rPr>
        <vertAlign val="subscript"/>
        <sz val="10"/>
        <rFont val="Arial CE"/>
        <charset val="238"/>
      </rPr>
      <t>k</t>
    </r>
    <r>
      <rPr>
        <sz val="10"/>
        <rFont val="Arial CE"/>
        <family val="2"/>
        <charset val="238"/>
      </rPr>
      <t>=+42 °C
Chladicí výkony kompresorů dle EN12900, to je při přehřátí v sání kompresoru o Δt</t>
    </r>
    <r>
      <rPr>
        <vertAlign val="subscript"/>
        <sz val="10"/>
        <rFont val="Arial CE"/>
        <charset val="238"/>
      </rPr>
      <t>o</t>
    </r>
    <r>
      <rPr>
        <sz val="10"/>
        <rFont val="Arial CE"/>
        <family val="2"/>
        <charset val="238"/>
      </rPr>
      <t>=5 K a podchlazení kondenzátu Δt</t>
    </r>
    <r>
      <rPr>
        <vertAlign val="subscript"/>
        <sz val="10"/>
        <rFont val="Arial CE"/>
        <charset val="238"/>
      </rPr>
      <t>c</t>
    </r>
    <r>
      <rPr>
        <sz val="10"/>
        <rFont val="Arial CE"/>
        <family val="2"/>
        <charset val="238"/>
      </rPr>
      <t xml:space="preserve">=±0 K
</t>
    </r>
    <r>
      <rPr>
        <u/>
        <sz val="10"/>
        <rFont val="Arial CE"/>
        <charset val="238"/>
      </rPr>
      <t xml:space="preserve">Příslušenství na společném rámu:
</t>
    </r>
    <r>
      <rPr>
        <sz val="10"/>
        <rFont val="Arial CE"/>
        <family val="2"/>
        <charset val="238"/>
      </rPr>
      <t>Odlučovač oleje 10 ppm včetně sběrače oleje
Olejové čerpadlo pro provoz všech šroubových kompresorů
Termosifonový chladič oleje</t>
    </r>
  </si>
  <si>
    <r>
      <t>Vzduchem chlazený kondenzátor 
Kondenzační výkon Q</t>
    </r>
    <r>
      <rPr>
        <vertAlign val="subscript"/>
        <sz val="10"/>
        <rFont val="Arial CE"/>
        <charset val="238"/>
      </rPr>
      <t>c</t>
    </r>
    <r>
      <rPr>
        <sz val="10"/>
        <rFont val="Arial CE"/>
        <charset val="238"/>
      </rPr>
      <t>=640 kW
při t</t>
    </r>
    <r>
      <rPr>
        <vertAlign val="subscript"/>
        <sz val="10"/>
        <rFont val="Arial CE"/>
        <charset val="238"/>
      </rPr>
      <t>v</t>
    </r>
    <r>
      <rPr>
        <sz val="10"/>
        <rFont val="Arial CE"/>
        <charset val="238"/>
      </rPr>
      <t>=+33 °C a t</t>
    </r>
    <r>
      <rPr>
        <vertAlign val="subscript"/>
        <sz val="10"/>
        <rFont val="Arial CE"/>
        <charset val="238"/>
      </rPr>
      <t>c</t>
    </r>
    <r>
      <rPr>
        <sz val="10"/>
        <rFont val="Arial CE"/>
        <charset val="238"/>
      </rPr>
      <t>=+42 °C
Příslušenství: 
- Prodloužené nohy 1000 mm
- EC Ventilátory včetně EC pojistné skříně</t>
    </r>
  </si>
  <si>
    <t>Vysokokotlaký PRV přivařovací
Výkon 472 kW
Vypařovací teplota -10 °C
Kondenzační teplota +25(+42) °C</t>
  </si>
  <si>
    <r>
      <t>NH</t>
    </r>
    <r>
      <rPr>
        <vertAlign val="sub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 xml:space="preserve"> čerpadlo 
Příslušenství: Manometer s přípojkou; 
Q=9,8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>/h, H=25 m k.sl.; 
elektromotor 3,0 kW,  3x400V, 50 Hz</t>
    </r>
  </si>
  <si>
    <t>Axiální ventilátor pro havarijní a provozní větráni 
Průtok Q=4990 m3/h (0 Pa)</t>
  </si>
  <si>
    <t>Vysokokotlaký PRV přivařovací
Výkon 150 kW
Vypařovací teplota -10 °C
Kondenzační teplota +25(+42) °C</t>
  </si>
  <si>
    <t>Plovákový regulační ventil
Výkon určený množstvím zkondenzovaného chladiva
Max výkon 80 kW
Vypařovací teplota -10 °C
Kondenzační teplota +42 °C</t>
  </si>
  <si>
    <t>Kalové čerpadlo 
Q=4.15 l/s, H=19,2 m v.sl.
elektromotor 3,8 kW, 3x380-415 V
Kruhový podstavec pro svislé uložení 96102253</t>
  </si>
  <si>
    <t>Pískový filtr 13x54 manuální (100 kg)</t>
  </si>
  <si>
    <t>Radarová sonda pro měření a regulaci 
hladiny,kabelové
provedení; 084H4501; L=5 m</t>
  </si>
  <si>
    <t>Převodník tlaku, -1 až +12 bar, 060G2105</t>
  </si>
  <si>
    <t xml:space="preserve">Zpětný venil </t>
  </si>
  <si>
    <t>Převodník tlaku, 0 až +25 bar, 060G2110</t>
  </si>
  <si>
    <t>Motorický ventil 027H3012</t>
  </si>
  <si>
    <r>
      <t>Servoventil D 27H2060;  1</t>
    </r>
    <r>
      <rPr>
        <vertAlign val="subscript"/>
        <sz val="10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 xml:space="preserve">" </t>
    </r>
  </si>
  <si>
    <t>Regul. hladiny vč. relé, 148H3194</t>
  </si>
  <si>
    <t>Pilot ventil 27B1102 (17; 0-7 bar)</t>
  </si>
  <si>
    <t>Diferenční presostat,
rozsah 0,3 až 4,5 bar, diference 0,2 bar,  060B029866</t>
  </si>
  <si>
    <t xml:space="preserve">Zpětný ventil </t>
  </si>
  <si>
    <t>Elektromagnetický ventil 32F3103.31</t>
  </si>
  <si>
    <t>Elektromagnetický ventil 32F6216</t>
  </si>
  <si>
    <t>Elektromagnetický ventil 32F6223.31</t>
  </si>
  <si>
    <t>Manometr Ø100 s teplotní stupnicí pro chladivo R717, plněný glycerinem, rozsah 0 až 2,5 MPa, třída přesnosti 1,6 %, spodní připojení M20x1,5</t>
  </si>
  <si>
    <t>Manometr Ø160s teplotní stupnicí pro chladivo R717, 
plněný glycerinem, 
rozsah 26; -0,1 až 1,5 MPa, 
třída přesnosti 1,6 %, 
spodní připojení M20x1,5</t>
  </si>
  <si>
    <t>Manometr Ø100 pro vodu a neagresivní tekutiny, plněný glycerinem, rozsah 0 až 600 kPa, třída přesnosti 1,6 %, spodní připojení M20x1,5</t>
  </si>
  <si>
    <t>Stavoznak 2512+068</t>
  </si>
  <si>
    <t>Stavoznak 2512+058</t>
  </si>
  <si>
    <r>
      <t>Jehlový ventil G</t>
    </r>
    <r>
      <rPr>
        <sz val="10"/>
        <rFont val="Arial CE"/>
        <charset val="238"/>
      </rPr>
      <t>1/2</t>
    </r>
    <r>
      <rPr>
        <vertAlign val="subscript"/>
        <sz val="10"/>
        <rFont val="Arial CE"/>
        <charset val="238"/>
      </rPr>
      <t xml:space="preserve"> </t>
    </r>
    <r>
      <rPr>
        <sz val="10"/>
        <rFont val="Arial CE"/>
        <family val="2"/>
        <charset val="238"/>
      </rPr>
      <t>W1/2L100</t>
    </r>
    <r>
      <rPr>
        <sz val="10"/>
        <rFont val="Arial CE"/>
        <charset val="238"/>
      </rPr>
      <t>; 148B3769</t>
    </r>
  </si>
  <si>
    <r>
      <t xml:space="preserve">Příslušenství jehlového ventilu
Zaslepovací matice vč. těsnění G 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; 2469+056</t>
    </r>
  </si>
  <si>
    <t>Přímý uzavírací ventil 148B5011</t>
  </si>
  <si>
    <t>Rohový uzavírací ventil 2413+133</t>
  </si>
  <si>
    <t>Přímý uzavírací ventil 148B5211</t>
  </si>
  <si>
    <t>Přímý uzavírací ventil 148B5411</t>
  </si>
  <si>
    <t>Rohový uzavírací ventil 148B5401</t>
  </si>
  <si>
    <t>Přímý uzavírací ventil 148B5511</t>
  </si>
  <si>
    <t>Rohový uzavírací ventil 148B5701</t>
  </si>
  <si>
    <t>Přímý uzavírací ventil 148B5711</t>
  </si>
  <si>
    <t>Přímý uzavírací ventil 148B5811</t>
  </si>
  <si>
    <t>Přímý uzavírací ventil 148B5911</t>
  </si>
  <si>
    <t>Přímý uzavírací ventil 148B6111</t>
  </si>
  <si>
    <t>Rohový uzavírací ventil 148B6101</t>
  </si>
  <si>
    <t>Přímý regulační ventil 148B5105</t>
  </si>
  <si>
    <t>Přímý regulační ventil 148B5429</t>
  </si>
  <si>
    <t>Přímý regulační ventil 148B5529</t>
  </si>
  <si>
    <t>Rychlouzavírací odolejovací ventil 148H3272
Fitinky pro připojení hadice; 2469+065
Fitinky pro přivaření; 2469+066</t>
  </si>
  <si>
    <t>Střídací + 2 pojistné ventily,  p=20 Bar;
148F3006</t>
  </si>
  <si>
    <t>Střídací + 2 pojistné ventily,  p=20 Bar;
148F3009</t>
  </si>
  <si>
    <t>Střídací + 2 pojistné ventily,  p=16 Bar;
148F3011</t>
  </si>
  <si>
    <t>Filtr Danfoss, přímý 148H3090, 148H3130</t>
  </si>
  <si>
    <r>
      <t>Kulový kohout pro NH</t>
    </r>
    <r>
      <rPr>
        <vertAlign val="sub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, DN 80 PN 40, 
 příruba EN 1092
typ C - pero</t>
    </r>
  </si>
  <si>
    <r>
      <t xml:space="preserve">Průhledítko
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8</t>
    </r>
    <r>
      <rPr>
        <sz val="10"/>
        <rFont val="Arial CE"/>
        <charset val="238"/>
      </rPr>
      <t>" G; 027L1267</t>
    </r>
  </si>
  <si>
    <r>
      <t xml:space="preserve">Pojistný ventil </t>
    </r>
    <r>
      <rPr>
        <vertAlign val="superscript"/>
        <sz val="10"/>
        <rFont val="Arial CE"/>
        <family val="2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charset val="238"/>
      </rPr>
      <t xml:space="preserve">"x 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", Δp=9 bar
691520.90</t>
    </r>
  </si>
  <si>
    <r>
      <t>Kulový kohout 509 DN 10 (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8</t>
    </r>
    <r>
      <rPr>
        <sz val="10"/>
        <rFont val="Arial CE"/>
        <charset val="238"/>
      </rPr>
      <t>")
mosaz</t>
    </r>
  </si>
  <si>
    <r>
      <t>Kulový kohout 509 DN 15 (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")
mosaz</t>
    </r>
  </si>
  <si>
    <t>Kulový kohout 509 DN 25 (1")
mosaz</t>
  </si>
  <si>
    <r>
      <t>Kulový kohout 509 DN 32 (1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")
mosaz</t>
    </r>
  </si>
  <si>
    <t>Kulový kohout VL451 DN 50 (2")
nerez</t>
  </si>
  <si>
    <t>Uzavírací klapka KSB s pákou 
DN 32 PN 16, i.č.42080016</t>
  </si>
  <si>
    <t>Uzavírací klapka KSB s pákou
DN 40 PN 16, i.č.42080017</t>
  </si>
  <si>
    <r>
      <t>Pojistný ventil 1"x1</t>
    </r>
    <r>
      <rPr>
        <vertAlign val="superscript"/>
        <sz val="10"/>
        <rFont val="Arial CE"/>
        <family val="2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family val="2"/>
        <charset val="238"/>
      </rPr>
      <t>4</t>
    </r>
    <r>
      <rPr>
        <sz val="10"/>
        <rFont val="Arial CE"/>
        <charset val="238"/>
      </rPr>
      <t>", Δp=9,0 bar
692532.90</t>
    </r>
  </si>
  <si>
    <r>
      <t>Filtr YS800 DN 32 (1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"),
nerez YS800-32-40</t>
    </r>
  </si>
  <si>
    <t>Zpětný ventil RV600 DN 25 (1"),
nerez0</t>
  </si>
  <si>
    <r>
      <t>Zpětný ventil RV600 DN 32 (1</t>
    </r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>/</t>
    </r>
    <r>
      <rPr>
        <vertAlign val="subscript"/>
        <sz val="10"/>
        <rFont val="Arial CE"/>
        <charset val="238"/>
      </rPr>
      <t>4</t>
    </r>
    <r>
      <rPr>
        <sz val="10"/>
        <rFont val="Arial CE"/>
        <charset val="238"/>
      </rPr>
      <t>"),
nerez</t>
    </r>
  </si>
  <si>
    <r>
      <t>Kondenzátor chladiva - vinutý výměník z nerezové oceli  
Výkon Q = 150 kW
Chladivo: R717 (NH</t>
    </r>
    <r>
      <rPr>
        <vertAlign val="subscript"/>
        <sz val="10"/>
        <rFont val="Arial CE"/>
        <charset val="238"/>
      </rPr>
      <t>3</t>
    </r>
    <r>
      <rPr>
        <sz val="10"/>
        <rFont val="Arial CE"/>
        <charset val="238"/>
      </rPr>
      <t>)
Kondenzační teplota t</t>
    </r>
    <r>
      <rPr>
        <vertAlign val="subscript"/>
        <sz val="10"/>
        <rFont val="Arial CE"/>
        <charset val="238"/>
      </rPr>
      <t>c</t>
    </r>
    <r>
      <rPr>
        <sz val="10"/>
        <rFont val="Arial CE"/>
        <charset val="238"/>
      </rPr>
      <t>= cca +35 °C
Teplota chladicí vody t</t>
    </r>
    <r>
      <rPr>
        <vertAlign val="subscript"/>
        <sz val="10"/>
        <rFont val="Arial CE"/>
        <charset val="238"/>
      </rPr>
      <t>W</t>
    </r>
    <r>
      <rPr>
        <sz val="10"/>
        <rFont val="Arial CE"/>
        <charset val="238"/>
      </rPr>
      <t xml:space="preserve"> = +10/+20 °C
Teplosměnná plocha 10 m</t>
    </r>
    <r>
      <rPr>
        <vertAlign val="superscript"/>
        <sz val="10"/>
        <rFont val="Arial CE"/>
        <charset val="238"/>
      </rPr>
      <t>2</t>
    </r>
    <r>
      <rPr>
        <sz val="10"/>
        <rFont val="Arial CE"/>
        <charset val="238"/>
      </rPr>
      <t xml:space="preserve">
Rozměry a provedení hrdel dle v.č. 3-16-226-2</t>
    </r>
  </si>
  <si>
    <r>
      <t>Výměník na využití odpadního tepla
Vinutý protiproudý výměník tepla z  nerezové oceli AISI 321.
Výhřevná plocha 10 m</t>
    </r>
    <r>
      <rPr>
        <vertAlign val="superscript"/>
        <sz val="10"/>
        <rFont val="Arial CE"/>
        <charset val="238"/>
      </rPr>
      <t>2</t>
    </r>
    <r>
      <rPr>
        <sz val="10"/>
        <rFont val="Arial CE"/>
        <charset val="238"/>
      </rPr>
      <t xml:space="preserve">
Rozměry a provedení hrdel dle v.č. 3-16-226-1</t>
    </r>
  </si>
  <si>
    <t>Deskový  chladič olej - voda,
včetně opory, hrdla dole
Výkon 97,20 kW
Horká strana: Olej ISO VG68
Vstupní teplota +80 °C
Výstupní teplota +50 °C
Studená strana:Voda
Vstupní teplota +40 °C
Výstupní teplota +60 °C</t>
  </si>
  <si>
    <r>
      <t>Vodní čerpadlo 
Q=2,02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>/h, H=21,4 m k.sl.;
Q=4,01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 xml:space="preserve">/h, H=20,1 m k.sl.;
elmotor 0,75 kW, 3x230 D/3x400 Y V, 50 Hz
Základová deska 96405915
</t>
    </r>
  </si>
  <si>
    <r>
      <t>Vodní vícestupňové čerpadlo 
Q=4,02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>/h, H=40,4 m k.sl.;
elmotor 1,1 kW, 3x230 D/3x400 Y V, 50 Hz
Přivařovací spojení 00419902</t>
    </r>
  </si>
  <si>
    <r>
      <t>Nerezový ohřívač vody  ELTE 2500 l, PN10
Válcová stojatá nádoba z nerezové oceli AISI 304 s vestavěným topnými registry pro ohřev vody v nádrži.
Akumulační nádrž V=2,5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 xml:space="preserve"> s 
2 x topnými vložkami; 
1. topná vložka 8 m</t>
    </r>
    <r>
      <rPr>
        <vertAlign val="superscript"/>
        <sz val="10"/>
        <rFont val="Arial CE"/>
        <charset val="238"/>
      </rPr>
      <t>2</t>
    </r>
    <r>
      <rPr>
        <sz val="10"/>
        <rFont val="Arial CE"/>
        <charset val="238"/>
      </rPr>
      <t xml:space="preserve">
2. topná vložka 8 m</t>
    </r>
    <r>
      <rPr>
        <vertAlign val="superscript"/>
        <sz val="10"/>
        <rFont val="Arial CE"/>
        <charset val="238"/>
      </rPr>
      <t>2</t>
    </r>
    <r>
      <rPr>
        <sz val="10"/>
        <rFont val="Arial CE"/>
        <charset val="238"/>
      </rPr>
      <t xml:space="preserve">
Průměr nádoby D=1200 mm; 
Délka pláště L=1800 mm
Rozměry a provedení hrdel dle v.č. 3-16-222-1
</t>
    </r>
  </si>
  <si>
    <t xml:space="preserve">Expanzomat
Objem 80 litrů, PN10 
o.č. 7210300
včetně kulového kohoutu MK 1"
 o.č. 6830200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</si>
</sst>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_)"/>
    <numFmt numFmtId="165" formatCode="0_)"/>
    <numFmt numFmtId="166" formatCode="0.000"/>
    <numFmt numFmtId="167" formatCode="0.0%"/>
    <numFmt numFmtId="168" formatCode="#,##0.000"/>
  </numFmts>
  <fonts count="26" x14ac:knownFonts="1">
    <font>
      <sz val="10"/>
      <name val="Arial CE"/>
      <charset val="238"/>
    </font>
    <font>
      <b/>
      <sz val="10"/>
      <name val="Arial CE"/>
      <charset val="238"/>
    </font>
    <font>
      <vertAlign val="subscript"/>
      <sz val="10"/>
      <name val="Arial CE"/>
      <family val="2"/>
      <charset val="238"/>
    </font>
    <font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vertAlign val="sub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i/>
      <sz val="10"/>
      <name val="Arial CE"/>
      <family val="2"/>
      <charset val="238"/>
    </font>
    <font>
      <sz val="11"/>
      <name val="Arial CE"/>
      <family val="2"/>
      <charset val="238"/>
    </font>
    <font>
      <i/>
      <vertAlign val="subscript"/>
      <sz val="10"/>
      <name val="Arial CE"/>
      <family val="2"/>
      <charset val="238"/>
    </font>
    <font>
      <b/>
      <sz val="11"/>
      <name val="Arial CE"/>
      <family val="2"/>
      <charset val="238"/>
    </font>
    <font>
      <vertAlign val="subscript"/>
      <sz val="10"/>
      <name val="Arial CE"/>
      <charset val="238"/>
    </font>
    <font>
      <b/>
      <vertAlign val="subscript"/>
      <sz val="10"/>
      <name val="Arial CE"/>
      <charset val="238"/>
    </font>
    <font>
      <sz val="10"/>
      <name val="Arial"/>
      <family val="2"/>
      <charset val="238"/>
    </font>
    <font>
      <vertAlign val="superscript"/>
      <sz val="10"/>
      <name val="Arial CE"/>
      <charset val="238"/>
    </font>
    <font>
      <u/>
      <sz val="10"/>
      <name val="Arial CE"/>
      <charset val="238"/>
    </font>
    <font>
      <sz val="10"/>
      <name val="Calibri"/>
      <family val="2"/>
      <charset val="238"/>
    </font>
    <font>
      <i/>
      <sz val="10"/>
      <name val="Arial CE"/>
      <charset val="238"/>
    </font>
    <font>
      <i/>
      <vertAlign val="superscript"/>
      <sz val="10"/>
      <name val="Arial CE"/>
      <charset val="238"/>
    </font>
    <font>
      <i/>
      <vertAlign val="subscript"/>
      <sz val="10"/>
      <name val="Arial CE"/>
      <charset val="238"/>
    </font>
    <font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9" fontId="0" fillId="0" borderId="0" xfId="0" applyNumberFormat="1" applyAlignment="1">
      <alignment horizontal="center" vertical="center"/>
    </xf>
    <xf numFmtId="3" fontId="0" fillId="0" borderId="0" xfId="0" applyNumberForma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Continuous" vertical="center" wrapText="1"/>
    </xf>
    <xf numFmtId="3" fontId="1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3" fontId="3" fillId="0" borderId="0" xfId="0" applyNumberFormat="1" applyFont="1" applyAlignment="1">
      <alignment horizontal="centerContinuous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 applyProtection="1">
      <alignment horizontal="left" vertical="center" wrapText="1" indent="1"/>
      <protection locked="0"/>
    </xf>
    <xf numFmtId="3" fontId="0" fillId="0" borderId="0" xfId="0" applyNumberFormat="1" applyAlignment="1">
      <alignment horizontal="centerContinuous" vertical="center"/>
    </xf>
    <xf numFmtId="3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centerContinuous" vertical="center"/>
    </xf>
    <xf numFmtId="1" fontId="3" fillId="0" borderId="0" xfId="0" applyNumberFormat="1" applyFont="1" applyAlignment="1">
      <alignment horizontal="centerContinuous" vertical="center"/>
    </xf>
    <xf numFmtId="0" fontId="10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 indent="1"/>
    </xf>
    <xf numFmtId="3" fontId="3" fillId="0" borderId="0" xfId="0" applyNumberFormat="1" applyFont="1" applyAlignment="1" applyProtection="1">
      <alignment horizontal="left" vertical="top" wrapText="1" indent="1"/>
      <protection locked="0"/>
    </xf>
    <xf numFmtId="3" fontId="3" fillId="0" borderId="0" xfId="0" applyNumberFormat="1" applyFont="1" applyAlignment="1">
      <alignment horizontal="center" vertical="top"/>
    </xf>
    <xf numFmtId="3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3" fontId="0" fillId="0" borderId="0" xfId="0" applyNumberFormat="1" applyAlignment="1" applyProtection="1">
      <alignment horizontal="left" vertical="top" wrapText="1" indent="1"/>
      <protection locked="0"/>
    </xf>
    <xf numFmtId="0" fontId="3" fillId="0" borderId="0" xfId="0" applyFont="1" applyAlignment="1">
      <alignment horizontal="center" vertical="top"/>
    </xf>
    <xf numFmtId="3" fontId="3" fillId="0" borderId="0" xfId="0" applyNumberFormat="1" applyFont="1" applyAlignment="1">
      <alignment horizontal="centerContinuous" vertical="top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 applyProtection="1">
      <alignment horizontal="left" vertical="top" wrapText="1" indent="1"/>
      <protection locked="0"/>
    </xf>
    <xf numFmtId="3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horizontal="center" vertical="top"/>
    </xf>
    <xf numFmtId="3" fontId="3" fillId="0" borderId="0" xfId="0" applyNumberFormat="1" applyFont="1" applyAlignment="1" applyProtection="1">
      <alignment horizontal="left" vertical="top" wrapText="1" indent="2"/>
      <protection locked="0"/>
    </xf>
    <xf numFmtId="0" fontId="12" fillId="0" borderId="0" xfId="0" applyFont="1" applyAlignment="1">
      <alignment horizontal="left" vertical="center" wrapText="1" indent="1"/>
    </xf>
    <xf numFmtId="2" fontId="3" fillId="0" borderId="0" xfId="0" applyNumberFormat="1" applyFont="1" applyAlignment="1">
      <alignment horizontal="center" vertical="top"/>
    </xf>
    <xf numFmtId="49" fontId="3" fillId="0" borderId="0" xfId="0" quotePrefix="1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 applyProtection="1">
      <alignment horizontal="left" vertical="center" wrapText="1" indent="1"/>
      <protection locked="0"/>
    </xf>
    <xf numFmtId="49" fontId="15" fillId="0" borderId="0" xfId="0" applyNumberFormat="1" applyFont="1" applyAlignment="1">
      <alignment horizontal="center" vertical="center"/>
    </xf>
    <xf numFmtId="3" fontId="15" fillId="0" borderId="0" xfId="0" applyNumberFormat="1" applyFont="1" applyAlignment="1" applyProtection="1">
      <alignment horizontal="left" vertical="center" wrapText="1" indent="1"/>
      <protection locked="0"/>
    </xf>
    <xf numFmtId="3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top"/>
    </xf>
    <xf numFmtId="0" fontId="5" fillId="0" borderId="0" xfId="0" applyFont="1" applyAlignment="1">
      <alignment horizontal="left" vertical="top" indent="1"/>
    </xf>
    <xf numFmtId="0" fontId="0" fillId="0" borderId="0" xfId="0" applyAlignment="1">
      <alignment horizontal="left" vertical="top" indent="1"/>
    </xf>
    <xf numFmtId="2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left" vertical="center" indent="1"/>
    </xf>
    <xf numFmtId="166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Continuous" vertical="top"/>
    </xf>
    <xf numFmtId="167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3" fontId="0" fillId="0" borderId="0" xfId="0" applyNumberFormat="1" applyAlignment="1" applyProtection="1">
      <alignment horizontal="left" vertical="center" wrapText="1" indent="1"/>
      <protection locked="0"/>
    </xf>
    <xf numFmtId="3" fontId="15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vertical="top"/>
    </xf>
    <xf numFmtId="49" fontId="3" fillId="0" borderId="0" xfId="0" applyNumberFormat="1" applyFont="1" applyAlignment="1">
      <alignment horizontal="left" vertical="center" wrapText="1" indent="1"/>
    </xf>
    <xf numFmtId="164" fontId="0" fillId="0" borderId="0" xfId="0" applyNumberFormat="1" applyAlignment="1">
      <alignment horizontal="center" vertical="top" wrapText="1"/>
    </xf>
    <xf numFmtId="164" fontId="0" fillId="0" borderId="0" xfId="0" applyNumberFormat="1"/>
    <xf numFmtId="164" fontId="0" fillId="0" borderId="0" xfId="0" applyNumberFormat="1" applyAlignment="1">
      <alignment horizontal="left" wrapText="1" indent="1"/>
    </xf>
    <xf numFmtId="164" fontId="0" fillId="0" borderId="0" xfId="0" applyNumberFormat="1" applyAlignment="1">
      <alignment vertical="center"/>
    </xf>
    <xf numFmtId="49" fontId="0" fillId="0" borderId="0" xfId="0" applyNumberFormat="1" applyAlignment="1">
      <alignment horizontal="center" vertical="top" wrapText="1"/>
    </xf>
    <xf numFmtId="3" fontId="13" fillId="0" borderId="0" xfId="0" applyNumberFormat="1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4" fontId="13" fillId="0" borderId="0" xfId="0" applyNumberFormat="1" applyFont="1" applyAlignment="1">
      <alignment horizontal="center" vertical="top"/>
    </xf>
    <xf numFmtId="164" fontId="13" fillId="0" borderId="0" xfId="0" applyNumberFormat="1" applyFont="1" applyAlignment="1">
      <alignment vertical="top"/>
    </xf>
    <xf numFmtId="3" fontId="0" fillId="0" borderId="0" xfId="0" applyNumberFormat="1" applyAlignment="1" applyProtection="1">
      <alignment horizontal="left" vertical="top" wrapText="1" indent="2"/>
      <protection locked="0"/>
    </xf>
    <xf numFmtId="3" fontId="3" fillId="0" borderId="0" xfId="0" applyNumberFormat="1" applyFont="1" applyAlignment="1" applyProtection="1">
      <alignment horizontal="left" vertical="top" indent="2"/>
      <protection locked="0"/>
    </xf>
    <xf numFmtId="3" fontId="1" fillId="0" borderId="0" xfId="0" applyNumberFormat="1" applyFont="1" applyAlignment="1" applyProtection="1">
      <alignment horizontal="left" vertical="top" wrapText="1" indent="1"/>
      <protection locked="0"/>
    </xf>
    <xf numFmtId="49" fontId="1" fillId="0" borderId="0" xfId="0" applyNumberFormat="1" applyFont="1" applyAlignment="1">
      <alignment horizontal="center" vertical="center"/>
    </xf>
    <xf numFmtId="3" fontId="11" fillId="0" borderId="0" xfId="0" applyNumberFormat="1" applyFont="1" applyAlignment="1" applyProtection="1">
      <alignment horizontal="left" vertical="top" wrapText="1" indent="1"/>
      <protection locked="0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left" vertical="top" wrapText="1" indent="1"/>
    </xf>
    <xf numFmtId="164" fontId="0" fillId="0" borderId="0" xfId="0" applyNumberFormat="1" applyAlignment="1">
      <alignment horizontal="center" vertical="top"/>
    </xf>
    <xf numFmtId="3" fontId="0" fillId="0" borderId="0" xfId="0" applyNumberFormat="1" applyAlignment="1" applyProtection="1">
      <alignment horizontal="center" vertical="top" wrapText="1"/>
      <protection locked="0"/>
    </xf>
    <xf numFmtId="3" fontId="22" fillId="0" borderId="0" xfId="0" applyNumberFormat="1" applyFont="1" applyAlignment="1" applyProtection="1">
      <alignment horizontal="left" vertical="top" indent="1"/>
      <protection locked="0"/>
    </xf>
    <xf numFmtId="0" fontId="25" fillId="0" borderId="0" xfId="0" applyFont="1" applyAlignment="1">
      <alignment horizontal="center" vertical="center"/>
    </xf>
    <xf numFmtId="3" fontId="22" fillId="0" borderId="0" xfId="0" applyNumberFormat="1" applyFont="1" applyAlignment="1" applyProtection="1">
      <alignment horizontal="left" vertical="center" indent="1"/>
      <protection locked="0"/>
    </xf>
    <xf numFmtId="164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49" fontId="25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 indent="1"/>
    </xf>
    <xf numFmtId="1" fontId="3" fillId="0" borderId="0" xfId="0" applyNumberFormat="1" applyFont="1" applyAlignment="1">
      <alignment horizontal="center" vertical="top"/>
    </xf>
    <xf numFmtId="0" fontId="0" fillId="0" borderId="0" xfId="0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164" fontId="9" fillId="0" borderId="0" xfId="0" applyNumberFormat="1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725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J544"/>
  <sheetViews>
    <sheetView tabSelected="1" view="pageBreakPreview" topLeftCell="A2" zoomScaleNormal="100" zoomScaleSheetLayoutView="100" workbookViewId="0">
      <pane ySplit="1150" topLeftCell="A49" activePane="bottomLeft"/>
      <selection activeCell="C25" sqref="C25"/>
      <selection pane="bottomLeft" activeCell="C51" sqref="C51"/>
    </sheetView>
  </sheetViews>
  <sheetFormatPr defaultColWidth="9.7265625" defaultRowHeight="12.5" x14ac:dyDescent="0.25"/>
  <cols>
    <col min="1" max="1" width="10.7265625" style="16" customWidth="1"/>
    <col min="2" max="2" width="40.7265625" style="4" customWidth="1"/>
    <col min="3" max="3" width="8" style="3" customWidth="1"/>
    <col min="4" max="4" width="8.26953125" style="3" customWidth="1"/>
    <col min="5" max="5" width="8.54296875" style="3" customWidth="1"/>
    <col min="6" max="6" width="9.7265625" style="3" customWidth="1"/>
    <col min="7" max="7" width="9.81640625" style="3" customWidth="1"/>
    <col min="8" max="8" width="10.7265625" style="3" customWidth="1"/>
    <col min="9" max="9" width="11.7265625" style="3" customWidth="1"/>
    <col min="10" max="11" width="10.7265625" style="3" customWidth="1"/>
    <col min="12" max="12" width="15.26953125" style="17" customWidth="1"/>
    <col min="13" max="16384" width="9.7265625" style="3"/>
  </cols>
  <sheetData>
    <row r="1" spans="1:12" s="91" customFormat="1" ht="15.5" x14ac:dyDescent="0.25">
      <c r="A1" s="112" t="s">
        <v>435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2" ht="40" x14ac:dyDescent="0.25">
      <c r="A2" s="20" t="s">
        <v>0</v>
      </c>
      <c r="B2" s="21" t="s">
        <v>1</v>
      </c>
      <c r="C2" s="22" t="s">
        <v>2</v>
      </c>
      <c r="D2" s="22" t="s">
        <v>3</v>
      </c>
      <c r="E2" s="21" t="s">
        <v>4</v>
      </c>
      <c r="F2" s="21" t="s">
        <v>5</v>
      </c>
      <c r="G2" s="21" t="s">
        <v>6</v>
      </c>
      <c r="H2" s="21" t="s">
        <v>7</v>
      </c>
      <c r="I2" s="21" t="s">
        <v>8</v>
      </c>
      <c r="J2" s="21" t="s">
        <v>9</v>
      </c>
      <c r="K2" s="21" t="s">
        <v>10</v>
      </c>
      <c r="L2" s="23" t="s">
        <v>11</v>
      </c>
    </row>
    <row r="3" spans="1:12" x14ac:dyDescent="0.25">
      <c r="A3" s="18"/>
      <c r="B3" s="9" t="s">
        <v>12</v>
      </c>
      <c r="C3" s="24"/>
      <c r="D3" s="24"/>
      <c r="E3" s="24"/>
      <c r="F3" s="24"/>
      <c r="G3" s="24"/>
      <c r="H3" s="24"/>
      <c r="I3" s="24"/>
      <c r="J3" s="24"/>
      <c r="K3" s="24"/>
      <c r="L3" s="19"/>
    </row>
    <row r="4" spans="1:12" x14ac:dyDescent="0.25">
      <c r="A4" s="12" t="s">
        <v>13</v>
      </c>
      <c r="B4" s="6" t="s">
        <v>88</v>
      </c>
      <c r="C4" s="25" t="s">
        <v>89</v>
      </c>
      <c r="D4" s="12">
        <v>1</v>
      </c>
      <c r="E4" s="25"/>
      <c r="F4" s="26">
        <f>F430</f>
        <v>15480</v>
      </c>
      <c r="G4" s="25" t="s">
        <v>89</v>
      </c>
      <c r="H4" s="26">
        <f>J430</f>
        <v>0</v>
      </c>
      <c r="I4" s="26">
        <f>K430</f>
        <v>0</v>
      </c>
      <c r="J4" s="26">
        <f>ROUND(H4,-1)</f>
        <v>0</v>
      </c>
      <c r="K4" s="26">
        <f>ROUND(I4,-1)</f>
        <v>0</v>
      </c>
      <c r="L4" s="26">
        <f>J4+K4</f>
        <v>0</v>
      </c>
    </row>
    <row r="5" spans="1:12" x14ac:dyDescent="0.25">
      <c r="A5" s="12" t="s">
        <v>15</v>
      </c>
      <c r="B5" s="9" t="s">
        <v>434</v>
      </c>
      <c r="C5" s="25" t="s">
        <v>89</v>
      </c>
      <c r="D5" s="12">
        <v>1</v>
      </c>
      <c r="E5" s="25"/>
      <c r="F5" s="26">
        <f>F463</f>
        <v>29440</v>
      </c>
      <c r="G5" s="25" t="s">
        <v>89</v>
      </c>
      <c r="H5" s="26">
        <f>J463</f>
        <v>0</v>
      </c>
      <c r="I5" s="26">
        <f>K463</f>
        <v>0</v>
      </c>
      <c r="J5" s="26">
        <f>ROUND(H5,-1)</f>
        <v>0</v>
      </c>
      <c r="K5" s="26">
        <f>ROUND(I5,-1)</f>
        <v>0</v>
      </c>
      <c r="L5" s="26">
        <f>J5+K5</f>
        <v>0</v>
      </c>
    </row>
    <row r="6" spans="1:12" x14ac:dyDescent="0.25">
      <c r="A6" s="1" t="s">
        <v>16</v>
      </c>
      <c r="B6" s="9" t="s">
        <v>78</v>
      </c>
      <c r="C6" s="25" t="s">
        <v>89</v>
      </c>
      <c r="D6" s="12">
        <v>1</v>
      </c>
      <c r="E6" s="25"/>
      <c r="F6" s="26">
        <f>F487</f>
        <v>1580</v>
      </c>
      <c r="G6" s="25" t="s">
        <v>89</v>
      </c>
      <c r="H6" s="26">
        <f>J487</f>
        <v>0</v>
      </c>
      <c r="I6" s="26">
        <f>K487</f>
        <v>0</v>
      </c>
      <c r="J6" s="26">
        <f>ROUND(H6,-2)</f>
        <v>0</v>
      </c>
      <c r="K6" s="26">
        <f>ROUND(I6,-2)</f>
        <v>0</v>
      </c>
      <c r="L6" s="26">
        <f>J6+K6</f>
        <v>0</v>
      </c>
    </row>
    <row r="7" spans="1:12" x14ac:dyDescent="0.25">
      <c r="A7" s="12"/>
      <c r="B7" s="6"/>
      <c r="C7" s="25"/>
      <c r="D7" s="12"/>
      <c r="E7" s="25"/>
      <c r="F7" s="26"/>
      <c r="G7" s="25"/>
      <c r="H7" s="26"/>
      <c r="I7" s="26"/>
      <c r="J7" s="26"/>
      <c r="K7" s="12"/>
      <c r="L7" s="26"/>
    </row>
    <row r="8" spans="1:12" x14ac:dyDescent="0.25">
      <c r="A8" s="18"/>
      <c r="B8" s="9"/>
      <c r="C8" s="25"/>
      <c r="D8" s="12"/>
      <c r="E8" s="25"/>
      <c r="F8" s="26"/>
      <c r="G8" s="25"/>
      <c r="H8" s="26"/>
      <c r="I8" s="26"/>
      <c r="J8" s="26"/>
      <c r="K8" s="12"/>
      <c r="L8" s="26"/>
    </row>
    <row r="9" spans="1:12" x14ac:dyDescent="0.25">
      <c r="A9" s="18"/>
      <c r="B9" s="9"/>
      <c r="C9" s="25"/>
      <c r="D9" s="12"/>
      <c r="E9" s="25"/>
      <c r="F9" s="24"/>
      <c r="G9" s="25"/>
      <c r="H9" s="26"/>
      <c r="I9" s="26"/>
      <c r="J9" s="26"/>
      <c r="K9" s="26"/>
      <c r="L9" s="26"/>
    </row>
    <row r="10" spans="1:12" x14ac:dyDescent="0.25">
      <c r="A10" s="18"/>
      <c r="B10" s="9" t="s">
        <v>17</v>
      </c>
      <c r="C10" s="25"/>
      <c r="D10" s="12"/>
      <c r="E10" s="25"/>
      <c r="F10" s="26">
        <f>SUM(F4:F9)</f>
        <v>46500</v>
      </c>
      <c r="G10" s="25"/>
      <c r="H10" s="26"/>
      <c r="I10" s="26"/>
      <c r="J10" s="26">
        <f>SUM(J4:J9)</f>
        <v>0</v>
      </c>
      <c r="K10" s="26">
        <f>SUM(K4:K9)</f>
        <v>0</v>
      </c>
      <c r="L10" s="26">
        <f>SUM(L4:L9)</f>
        <v>0</v>
      </c>
    </row>
    <row r="11" spans="1:12" x14ac:dyDescent="0.25">
      <c r="A11" s="18"/>
      <c r="B11" s="9"/>
      <c r="C11" s="25"/>
      <c r="D11" s="24"/>
      <c r="E11" s="25"/>
      <c r="F11" s="26"/>
      <c r="G11" s="25"/>
      <c r="H11" s="25"/>
      <c r="I11" s="25"/>
      <c r="J11" s="25">
        <f>J10+K10</f>
        <v>0</v>
      </c>
      <c r="K11" s="25"/>
    </row>
    <row r="12" spans="1:12" hidden="1" x14ac:dyDescent="0.25">
      <c r="A12" s="18" t="s">
        <v>28</v>
      </c>
      <c r="B12" s="12" t="s">
        <v>29</v>
      </c>
      <c r="C12" s="26" t="s">
        <v>30</v>
      </c>
      <c r="D12" s="12" t="s">
        <v>31</v>
      </c>
      <c r="E12" s="25" t="s">
        <v>32</v>
      </c>
      <c r="F12" s="24"/>
      <c r="G12" s="26" t="s">
        <v>33</v>
      </c>
      <c r="H12" s="25" t="s">
        <v>34</v>
      </c>
      <c r="I12" s="25"/>
      <c r="J12" s="25" t="s">
        <v>35</v>
      </c>
      <c r="K12" s="25"/>
      <c r="L12" s="25" t="s">
        <v>36</v>
      </c>
    </row>
    <row r="13" spans="1:12" hidden="1" x14ac:dyDescent="0.25">
      <c r="A13" s="18" t="s">
        <v>37</v>
      </c>
      <c r="B13" s="12" t="s">
        <v>38</v>
      </c>
      <c r="C13" s="26" t="s">
        <v>39</v>
      </c>
      <c r="D13" s="12" t="s">
        <v>40</v>
      </c>
      <c r="E13" s="25" t="s">
        <v>41</v>
      </c>
      <c r="F13" s="24"/>
      <c r="G13" s="26" t="s">
        <v>39</v>
      </c>
      <c r="H13" s="25" t="s">
        <v>42</v>
      </c>
      <c r="I13" s="25" t="s">
        <v>43</v>
      </c>
      <c r="J13" s="26" t="s">
        <v>42</v>
      </c>
      <c r="K13" s="26" t="s">
        <v>43</v>
      </c>
      <c r="L13" s="19" t="s">
        <v>44</v>
      </c>
    </row>
    <row r="14" spans="1:12" hidden="1" x14ac:dyDescent="0.25">
      <c r="A14" s="18"/>
      <c r="B14" s="7" t="s">
        <v>19</v>
      </c>
      <c r="C14" s="26" t="s">
        <v>20</v>
      </c>
      <c r="D14" s="12">
        <f>4</f>
        <v>4</v>
      </c>
      <c r="E14" s="25">
        <f>H10</f>
        <v>0</v>
      </c>
      <c r="F14" s="24"/>
      <c r="G14" s="26" t="s">
        <v>20</v>
      </c>
      <c r="H14" s="26">
        <f>D14*E14/100</f>
        <v>0</v>
      </c>
      <c r="I14" s="26"/>
      <c r="J14" s="26">
        <f>ROUND(H14,-3)</f>
        <v>0</v>
      </c>
      <c r="K14" s="26"/>
      <c r="L14" s="26">
        <f>J14+K14</f>
        <v>0</v>
      </c>
    </row>
    <row r="15" spans="1:12" hidden="1" x14ac:dyDescent="0.25">
      <c r="A15" s="18"/>
      <c r="B15" s="7" t="s">
        <v>21</v>
      </c>
      <c r="C15" s="26" t="s">
        <v>22</v>
      </c>
      <c r="D15" s="12">
        <f>F10/100</f>
        <v>465</v>
      </c>
      <c r="E15" s="25">
        <v>20</v>
      </c>
      <c r="F15" s="24"/>
      <c r="G15" s="26" t="s">
        <v>22</v>
      </c>
      <c r="H15" s="26"/>
      <c r="I15" s="26">
        <f>D15*E15</f>
        <v>9300</v>
      </c>
      <c r="J15" s="26"/>
      <c r="K15" s="26">
        <f>ROUND(I15,-2)</f>
        <v>9300</v>
      </c>
      <c r="L15" s="26">
        <f t="shared" ref="L15:L21" si="0">J15+K15</f>
        <v>9300</v>
      </c>
    </row>
    <row r="16" spans="1:12" hidden="1" x14ac:dyDescent="0.25">
      <c r="A16" s="18"/>
      <c r="B16" s="7" t="s">
        <v>23</v>
      </c>
      <c r="C16" s="26" t="s">
        <v>20</v>
      </c>
      <c r="D16" s="12">
        <v>1</v>
      </c>
      <c r="E16" s="25">
        <f>I10</f>
        <v>0</v>
      </c>
      <c r="F16" s="30"/>
      <c r="G16" s="26" t="s">
        <v>20</v>
      </c>
      <c r="H16" s="26"/>
      <c r="I16" s="26">
        <f>D16*E16/100</f>
        <v>0</v>
      </c>
      <c r="J16" s="26"/>
      <c r="K16" s="26">
        <f>ROUND(I16,-2)</f>
        <v>0</v>
      </c>
      <c r="L16" s="26">
        <f t="shared" si="0"/>
        <v>0</v>
      </c>
    </row>
    <row r="17" spans="1:13" hidden="1" x14ac:dyDescent="0.25">
      <c r="A17" s="18"/>
      <c r="B17" s="7" t="s">
        <v>24</v>
      </c>
      <c r="C17" s="26" t="s">
        <v>20</v>
      </c>
      <c r="D17" s="12">
        <v>1.6</v>
      </c>
      <c r="E17" s="25">
        <f>E16</f>
        <v>0</v>
      </c>
      <c r="F17" s="30"/>
      <c r="G17" s="26" t="s">
        <v>20</v>
      </c>
      <c r="H17" s="26"/>
      <c r="I17" s="26">
        <f>D17*E17/100</f>
        <v>0</v>
      </c>
      <c r="J17" s="26"/>
      <c r="K17" s="26">
        <f>ROUND(I17,-2)</f>
        <v>0</v>
      </c>
      <c r="L17" s="26">
        <f t="shared" si="0"/>
        <v>0</v>
      </c>
    </row>
    <row r="18" spans="1:13" hidden="1" x14ac:dyDescent="0.25">
      <c r="A18" s="18"/>
      <c r="B18" s="7" t="s">
        <v>45</v>
      </c>
      <c r="C18" s="25"/>
      <c r="D18" s="24"/>
      <c r="E18" s="25"/>
      <c r="F18" s="24"/>
      <c r="G18" s="25"/>
      <c r="H18" s="25"/>
      <c r="I18" s="25"/>
      <c r="J18" s="26">
        <f>J10</f>
        <v>0</v>
      </c>
      <c r="K18" s="25">
        <f>K10</f>
        <v>0</v>
      </c>
      <c r="L18" s="26">
        <f t="shared" si="0"/>
        <v>0</v>
      </c>
    </row>
    <row r="19" spans="1:13" ht="13" hidden="1" x14ac:dyDescent="0.25">
      <c r="A19" s="18"/>
      <c r="B19" s="31" t="s">
        <v>25</v>
      </c>
      <c r="C19" s="25"/>
      <c r="D19" s="24"/>
      <c r="E19" s="25"/>
      <c r="F19" s="24"/>
      <c r="G19" s="25"/>
      <c r="H19" s="25"/>
      <c r="I19" s="25"/>
      <c r="J19" s="29">
        <f>SUM(J14:J18)</f>
        <v>0</v>
      </c>
      <c r="K19" s="29">
        <f>SUM(K14:K18)</f>
        <v>9300</v>
      </c>
      <c r="L19" s="29">
        <f t="shared" si="0"/>
        <v>9300</v>
      </c>
    </row>
    <row r="20" spans="1:13" hidden="1" x14ac:dyDescent="0.25">
      <c r="A20" s="18"/>
      <c r="B20" s="7" t="s">
        <v>26</v>
      </c>
      <c r="C20" s="26" t="s">
        <v>20</v>
      </c>
      <c r="D20" s="12">
        <v>8</v>
      </c>
      <c r="E20" s="25">
        <f>K19</f>
        <v>9300</v>
      </c>
      <c r="F20" s="24"/>
      <c r="G20" s="26" t="s">
        <v>20</v>
      </c>
      <c r="H20" s="26"/>
      <c r="I20" s="26">
        <f>D20*E20/100</f>
        <v>744</v>
      </c>
      <c r="J20" s="26"/>
      <c r="K20" s="26">
        <f>ROUND(I20,-3)</f>
        <v>1000</v>
      </c>
      <c r="L20" s="26"/>
    </row>
    <row r="21" spans="1:13" ht="13" hidden="1" x14ac:dyDescent="0.25">
      <c r="A21" s="18"/>
      <c r="B21" s="31" t="s">
        <v>27</v>
      </c>
      <c r="C21" s="25"/>
      <c r="D21" s="24"/>
      <c r="E21" s="25"/>
      <c r="F21" s="24"/>
      <c r="G21" s="25"/>
      <c r="H21" s="25"/>
      <c r="I21" s="25"/>
      <c r="J21" s="29"/>
      <c r="K21" s="29">
        <f>K20</f>
        <v>1000</v>
      </c>
      <c r="L21" s="29">
        <f t="shared" si="0"/>
        <v>1000</v>
      </c>
    </row>
    <row r="22" spans="1:13" ht="13" x14ac:dyDescent="0.25">
      <c r="A22" s="18"/>
      <c r="B22" s="31"/>
      <c r="C22" s="25"/>
      <c r="D22" s="24"/>
      <c r="E22" s="25"/>
      <c r="F22" s="24"/>
      <c r="G22" s="25"/>
      <c r="H22" s="25"/>
      <c r="I22" s="25"/>
      <c r="J22" s="29"/>
      <c r="K22" s="29"/>
      <c r="L22" s="29"/>
    </row>
    <row r="23" spans="1:13" x14ac:dyDescent="0.25">
      <c r="A23" s="18"/>
      <c r="B23" s="7"/>
      <c r="C23" s="32"/>
      <c r="D23" s="24"/>
      <c r="E23" s="24"/>
      <c r="F23" s="24"/>
      <c r="G23" s="24"/>
      <c r="H23" s="33"/>
      <c r="I23" s="24"/>
      <c r="J23" s="33"/>
      <c r="K23" s="32"/>
      <c r="L23" s="19"/>
    </row>
    <row r="24" spans="1:13" s="91" customFormat="1" ht="15.5" x14ac:dyDescent="0.25">
      <c r="A24" s="112" t="s">
        <v>435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</row>
    <row r="25" spans="1:13" ht="40" x14ac:dyDescent="0.25">
      <c r="A25" s="20" t="s">
        <v>18</v>
      </c>
      <c r="B25" s="34" t="s">
        <v>46</v>
      </c>
      <c r="C25" s="22" t="s">
        <v>2</v>
      </c>
      <c r="D25" s="22" t="s">
        <v>3</v>
      </c>
      <c r="E25" s="21" t="s">
        <v>4</v>
      </c>
      <c r="F25" s="21" t="s">
        <v>5</v>
      </c>
      <c r="G25" s="21" t="s">
        <v>6</v>
      </c>
      <c r="H25" s="21" t="s">
        <v>47</v>
      </c>
      <c r="I25" s="21" t="s">
        <v>48</v>
      </c>
      <c r="J25" s="21" t="s">
        <v>49</v>
      </c>
      <c r="K25" s="21" t="s">
        <v>50</v>
      </c>
      <c r="L25" s="23" t="s">
        <v>51</v>
      </c>
    </row>
    <row r="26" spans="1:13" x14ac:dyDescent="0.25">
      <c r="B26" s="9"/>
      <c r="C26" s="1"/>
      <c r="D26" s="1"/>
      <c r="E26" s="1"/>
      <c r="F26" s="12"/>
      <c r="G26" s="12"/>
      <c r="H26" s="11"/>
      <c r="I26" s="11"/>
      <c r="J26" s="11"/>
      <c r="K26" s="11"/>
      <c r="L26" s="11"/>
    </row>
    <row r="27" spans="1:13" s="37" customFormat="1" ht="15.5" x14ac:dyDescent="0.25">
      <c r="A27" s="35" t="str">
        <f>A4</f>
        <v>I</v>
      </c>
      <c r="B27" s="36" t="str">
        <f>B4</f>
        <v>Strojovna chlazení</v>
      </c>
      <c r="H27" s="38"/>
      <c r="I27" s="38"/>
      <c r="J27" s="38"/>
      <c r="K27" s="38"/>
      <c r="L27" s="38"/>
    </row>
    <row r="28" spans="1:13" ht="13" x14ac:dyDescent="0.25">
      <c r="B28" s="39"/>
      <c r="C28" s="15"/>
      <c r="D28" s="15"/>
      <c r="E28" s="15"/>
      <c r="F28" s="15"/>
      <c r="G28" s="15"/>
      <c r="H28" s="11"/>
      <c r="I28" s="11"/>
      <c r="J28" s="11"/>
      <c r="K28" s="11"/>
      <c r="L28" s="11"/>
    </row>
    <row r="29" spans="1:13" ht="13" x14ac:dyDescent="0.25">
      <c r="A29" s="95" t="s">
        <v>147</v>
      </c>
      <c r="B29" s="5" t="s">
        <v>52</v>
      </c>
      <c r="C29" s="15"/>
      <c r="D29" s="15"/>
      <c r="E29" s="15"/>
      <c r="F29" s="15"/>
      <c r="G29" s="15"/>
      <c r="H29" s="11"/>
      <c r="I29" s="11"/>
      <c r="J29" s="11"/>
      <c r="K29" s="11"/>
      <c r="L29" s="11"/>
    </row>
    <row r="30" spans="1:13" ht="162" x14ac:dyDescent="0.25">
      <c r="A30" s="61" t="s">
        <v>115</v>
      </c>
      <c r="B30" s="40" t="s">
        <v>436</v>
      </c>
      <c r="C30" s="41" t="s">
        <v>53</v>
      </c>
      <c r="D30" s="45">
        <v>1</v>
      </c>
      <c r="E30" s="41">
        <v>4280</v>
      </c>
      <c r="F30" s="41">
        <f t="shared" ref="F30:F35" si="1">D30*E30</f>
        <v>4280</v>
      </c>
      <c r="G30" s="41" t="s">
        <v>53</v>
      </c>
      <c r="H30" s="41">
        <v>0</v>
      </c>
      <c r="I30" s="41">
        <v>0</v>
      </c>
      <c r="J30" s="41">
        <f t="shared" ref="J30:K35" si="2">$D30*H30</f>
        <v>0</v>
      </c>
      <c r="K30" s="41">
        <f t="shared" si="2"/>
        <v>0</v>
      </c>
      <c r="L30" s="41">
        <f t="shared" ref="L30:L35" si="3">J30+K30</f>
        <v>0</v>
      </c>
      <c r="M30" s="43"/>
    </row>
    <row r="31" spans="1:13" ht="81" x14ac:dyDescent="0.25">
      <c r="A31" s="61" t="s">
        <v>159</v>
      </c>
      <c r="B31" s="44" t="s">
        <v>437</v>
      </c>
      <c r="C31" s="42" t="s">
        <v>53</v>
      </c>
      <c r="D31" s="47">
        <v>1</v>
      </c>
      <c r="E31" s="47">
        <v>2700</v>
      </c>
      <c r="F31" s="47">
        <f t="shared" si="1"/>
        <v>2700</v>
      </c>
      <c r="G31" s="42" t="s">
        <v>53</v>
      </c>
      <c r="H31" s="41">
        <v>0</v>
      </c>
      <c r="I31" s="41">
        <v>0</v>
      </c>
      <c r="J31" s="42">
        <f t="shared" si="2"/>
        <v>0</v>
      </c>
      <c r="K31" s="42">
        <f t="shared" si="2"/>
        <v>0</v>
      </c>
      <c r="L31" s="41">
        <f t="shared" si="3"/>
        <v>0</v>
      </c>
    </row>
    <row r="32" spans="1:13" s="81" customFormat="1" ht="50" x14ac:dyDescent="0.25">
      <c r="A32" s="97" t="s">
        <v>90</v>
      </c>
      <c r="B32" s="44" t="s">
        <v>438</v>
      </c>
      <c r="C32" s="41" t="s">
        <v>53</v>
      </c>
      <c r="D32" s="46">
        <v>1</v>
      </c>
      <c r="E32" s="45">
        <f>37</f>
        <v>37</v>
      </c>
      <c r="F32" s="41">
        <f>D32*E32</f>
        <v>37</v>
      </c>
      <c r="G32" s="83" t="s">
        <v>53</v>
      </c>
      <c r="H32" s="41">
        <v>0</v>
      </c>
      <c r="I32" s="41">
        <v>0</v>
      </c>
      <c r="J32" s="41">
        <v>0</v>
      </c>
      <c r="K32" s="41">
        <f>$D32*I32</f>
        <v>0</v>
      </c>
      <c r="L32" s="41">
        <f>J32+K32</f>
        <v>0</v>
      </c>
    </row>
    <row r="33" spans="1:244" s="43" customFormat="1" ht="52" x14ac:dyDescent="0.25">
      <c r="A33" s="97" t="s">
        <v>131</v>
      </c>
      <c r="B33" s="40" t="s">
        <v>353</v>
      </c>
      <c r="C33" s="41" t="s">
        <v>53</v>
      </c>
      <c r="D33" s="76">
        <v>1</v>
      </c>
      <c r="E33" s="45">
        <v>2060</v>
      </c>
      <c r="F33" s="41">
        <f t="shared" si="1"/>
        <v>2060</v>
      </c>
      <c r="G33" s="41" t="s">
        <v>53</v>
      </c>
      <c r="H33" s="41">
        <v>0</v>
      </c>
      <c r="I33" s="41">
        <v>0</v>
      </c>
      <c r="J33" s="41">
        <f t="shared" si="2"/>
        <v>0</v>
      </c>
      <c r="K33" s="41">
        <f t="shared" si="2"/>
        <v>0</v>
      </c>
      <c r="L33" s="41">
        <f t="shared" si="3"/>
        <v>0</v>
      </c>
    </row>
    <row r="34" spans="1:244" s="81" customFormat="1" ht="39.5" x14ac:dyDescent="0.25">
      <c r="A34" s="97" t="s">
        <v>132</v>
      </c>
      <c r="B34" s="40" t="s">
        <v>354</v>
      </c>
      <c r="C34" s="41" t="s">
        <v>53</v>
      </c>
      <c r="D34" s="41">
        <v>1</v>
      </c>
      <c r="E34" s="45">
        <v>141</v>
      </c>
      <c r="F34" s="45">
        <f>D34*E34</f>
        <v>141</v>
      </c>
      <c r="G34" s="41" t="s">
        <v>53</v>
      </c>
      <c r="H34" s="41">
        <v>0</v>
      </c>
      <c r="I34" s="41">
        <v>0</v>
      </c>
      <c r="J34" s="41">
        <f>$D34*H34</f>
        <v>0</v>
      </c>
      <c r="K34" s="41">
        <f>$D34*I34</f>
        <v>0</v>
      </c>
      <c r="L34" s="41">
        <f>J34+K34</f>
        <v>0</v>
      </c>
    </row>
    <row r="35" spans="1:244" ht="55" x14ac:dyDescent="0.25">
      <c r="A35" s="61" t="s">
        <v>130</v>
      </c>
      <c r="B35" s="79" t="s">
        <v>439</v>
      </c>
      <c r="C35" s="42" t="s">
        <v>53</v>
      </c>
      <c r="D35" s="47">
        <v>2</v>
      </c>
      <c r="E35" s="47">
        <v>113</v>
      </c>
      <c r="F35" s="42">
        <f t="shared" si="1"/>
        <v>226</v>
      </c>
      <c r="G35" s="42" t="s">
        <v>53</v>
      </c>
      <c r="H35" s="41">
        <v>0</v>
      </c>
      <c r="I35" s="41">
        <v>0</v>
      </c>
      <c r="J35" s="42">
        <f t="shared" si="2"/>
        <v>0</v>
      </c>
      <c r="K35" s="42">
        <f t="shared" si="2"/>
        <v>0</v>
      </c>
      <c r="L35" s="41">
        <f t="shared" si="3"/>
        <v>0</v>
      </c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  <c r="FP35" s="43"/>
      <c r="FQ35" s="43"/>
      <c r="FR35" s="43"/>
      <c r="FS35" s="43"/>
      <c r="FT35" s="43"/>
      <c r="FU35" s="43"/>
      <c r="FV35" s="43"/>
      <c r="FW35" s="43"/>
      <c r="FX35" s="43"/>
      <c r="FY35" s="43"/>
      <c r="FZ35" s="43"/>
      <c r="GA35" s="43"/>
      <c r="GB35" s="43"/>
      <c r="GC35" s="43"/>
      <c r="GD35" s="43"/>
      <c r="GE35" s="43"/>
      <c r="GF35" s="43"/>
      <c r="GG35" s="43"/>
      <c r="GH35" s="43"/>
      <c r="GI35" s="43"/>
      <c r="GJ35" s="43"/>
      <c r="GK35" s="43"/>
      <c r="GL35" s="43"/>
      <c r="GM35" s="43"/>
      <c r="GN35" s="43"/>
      <c r="GO35" s="43"/>
      <c r="GP35" s="43"/>
      <c r="GQ35" s="43"/>
      <c r="GR35" s="43"/>
      <c r="GS35" s="43"/>
      <c r="GT35" s="43"/>
      <c r="GU35" s="43"/>
      <c r="GV35" s="43"/>
      <c r="GW35" s="43"/>
      <c r="GX35" s="43"/>
      <c r="GY35" s="43"/>
      <c r="GZ35" s="43"/>
      <c r="HA35" s="43"/>
      <c r="HB35" s="43"/>
      <c r="HC35" s="43"/>
      <c r="HD35" s="43"/>
      <c r="HE35" s="43"/>
      <c r="HF35" s="43"/>
      <c r="HG35" s="43"/>
      <c r="HH35" s="43"/>
      <c r="HI35" s="43"/>
      <c r="HJ35" s="43"/>
      <c r="HK35" s="43"/>
      <c r="HL35" s="43"/>
      <c r="HM35" s="43"/>
      <c r="HN35" s="43"/>
      <c r="HO35" s="43"/>
      <c r="HP35" s="43"/>
      <c r="HQ35" s="43"/>
      <c r="HR35" s="43"/>
      <c r="HS35" s="43"/>
      <c r="HT35" s="43"/>
      <c r="HU35" s="43"/>
      <c r="HV35" s="43"/>
      <c r="HW35" s="43"/>
      <c r="HX35" s="43"/>
      <c r="HY35" s="43"/>
      <c r="HZ35" s="43"/>
      <c r="IA35" s="43"/>
      <c r="IB35" s="43"/>
      <c r="IC35" s="43"/>
      <c r="ID35" s="43"/>
      <c r="IE35" s="43"/>
      <c r="IF35" s="43"/>
      <c r="IG35" s="43"/>
      <c r="IH35" s="43"/>
      <c r="II35" s="43"/>
      <c r="IJ35" s="43"/>
    </row>
    <row r="36" spans="1:244" s="81" customFormat="1" ht="37.5" x14ac:dyDescent="0.25">
      <c r="A36" s="97" t="s">
        <v>361</v>
      </c>
      <c r="B36" s="40" t="s">
        <v>440</v>
      </c>
      <c r="C36" s="41" t="s">
        <v>53</v>
      </c>
      <c r="D36" s="41">
        <v>2</v>
      </c>
      <c r="E36" s="45">
        <v>24.8</v>
      </c>
      <c r="F36" s="45">
        <f>D36*E36</f>
        <v>49.6</v>
      </c>
      <c r="G36" s="41" t="s">
        <v>53</v>
      </c>
      <c r="H36" s="41">
        <v>0</v>
      </c>
      <c r="I36" s="41">
        <v>0</v>
      </c>
      <c r="J36" s="41">
        <f t="shared" ref="J36:K38" si="4">$D36*H36</f>
        <v>0</v>
      </c>
      <c r="K36" s="41">
        <f t="shared" si="4"/>
        <v>0</v>
      </c>
      <c r="L36" s="41">
        <f>J36+K36</f>
        <v>0</v>
      </c>
    </row>
    <row r="37" spans="1:244" s="81" customFormat="1" ht="25" x14ac:dyDescent="0.25">
      <c r="A37" s="54"/>
      <c r="B37" s="56" t="s">
        <v>359</v>
      </c>
      <c r="C37" s="41" t="s">
        <v>53</v>
      </c>
      <c r="D37" s="41">
        <f>D36</f>
        <v>2</v>
      </c>
      <c r="E37" s="45">
        <v>1</v>
      </c>
      <c r="F37" s="41">
        <f>D37*E37</f>
        <v>2</v>
      </c>
      <c r="G37" s="41" t="s">
        <v>53</v>
      </c>
      <c r="H37" s="41">
        <v>0</v>
      </c>
      <c r="I37" s="41">
        <v>0</v>
      </c>
      <c r="J37" s="41">
        <f t="shared" si="4"/>
        <v>0</v>
      </c>
      <c r="K37" s="41">
        <f t="shared" si="4"/>
        <v>0</v>
      </c>
      <c r="L37" s="41">
        <f>J37+K37</f>
        <v>0</v>
      </c>
    </row>
    <row r="38" spans="1:244" s="81" customFormat="1" ht="25" x14ac:dyDescent="0.25">
      <c r="A38" s="54"/>
      <c r="B38" s="56" t="s">
        <v>360</v>
      </c>
      <c r="C38" s="41" t="s">
        <v>53</v>
      </c>
      <c r="D38" s="41">
        <f>D36</f>
        <v>2</v>
      </c>
      <c r="E38" s="45">
        <v>1</v>
      </c>
      <c r="F38" s="41">
        <f>D38*E38</f>
        <v>2</v>
      </c>
      <c r="G38" s="41" t="s">
        <v>53</v>
      </c>
      <c r="H38" s="41">
        <v>0</v>
      </c>
      <c r="I38" s="41">
        <v>0</v>
      </c>
      <c r="J38" s="41">
        <f t="shared" si="4"/>
        <v>0</v>
      </c>
      <c r="K38" s="41">
        <f t="shared" si="4"/>
        <v>0</v>
      </c>
      <c r="L38" s="41">
        <f>J38+K38</f>
        <v>0</v>
      </c>
    </row>
    <row r="39" spans="1:244" x14ac:dyDescent="0.25">
      <c r="A39" s="82"/>
      <c r="B39" s="79"/>
      <c r="C39" s="42"/>
      <c r="D39" s="47"/>
      <c r="E39" s="47"/>
      <c r="F39" s="42"/>
      <c r="G39" s="42"/>
      <c r="H39" s="41"/>
      <c r="I39" s="41"/>
      <c r="J39" s="42"/>
      <c r="K39" s="42"/>
      <c r="L39" s="41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  <c r="GP39" s="43"/>
      <c r="GQ39" s="43"/>
      <c r="GR39" s="43"/>
      <c r="GS39" s="43"/>
      <c r="GT39" s="43"/>
      <c r="GU39" s="43"/>
      <c r="GV39" s="43"/>
      <c r="GW39" s="43"/>
      <c r="GX39" s="43"/>
      <c r="GY39" s="43"/>
      <c r="GZ39" s="43"/>
      <c r="HA39" s="43"/>
      <c r="HB39" s="43"/>
      <c r="HC39" s="43"/>
      <c r="HD39" s="43"/>
      <c r="HE39" s="43"/>
      <c r="HF39" s="43"/>
      <c r="HG39" s="43"/>
      <c r="HH39" s="43"/>
      <c r="HI39" s="43"/>
      <c r="HJ39" s="43"/>
      <c r="HK39" s="43"/>
      <c r="HL39" s="43"/>
      <c r="HM39" s="43"/>
      <c r="HN39" s="43"/>
      <c r="HO39" s="43"/>
      <c r="HP39" s="43"/>
      <c r="HQ39" s="43"/>
      <c r="HR39" s="43"/>
      <c r="HS39" s="43"/>
      <c r="HT39" s="43"/>
      <c r="HU39" s="43"/>
      <c r="HV39" s="43"/>
      <c r="HW39" s="43"/>
      <c r="HX39" s="43"/>
      <c r="HY39" s="43"/>
      <c r="HZ39" s="43"/>
      <c r="IA39" s="43"/>
      <c r="IB39" s="43"/>
      <c r="IC39" s="43"/>
      <c r="ID39" s="43"/>
      <c r="IE39" s="43"/>
      <c r="IF39" s="43"/>
      <c r="IG39" s="43"/>
      <c r="IH39" s="43"/>
      <c r="II39" s="43"/>
      <c r="IJ39" s="43"/>
    </row>
    <row r="40" spans="1:244" ht="13" x14ac:dyDescent="0.25">
      <c r="A40" s="95" t="s">
        <v>161</v>
      </c>
      <c r="B40" s="5" t="s">
        <v>162</v>
      </c>
      <c r="C40" s="15"/>
      <c r="D40" s="15"/>
      <c r="E40" s="15"/>
      <c r="F40" s="15"/>
      <c r="G40" s="15"/>
      <c r="H40" s="11"/>
      <c r="I40" s="11"/>
      <c r="J40" s="11"/>
      <c r="K40" s="11"/>
      <c r="L40" s="11"/>
    </row>
    <row r="41" spans="1:244" s="81" customFormat="1" ht="111" x14ac:dyDescent="0.25">
      <c r="A41" s="97" t="s">
        <v>163</v>
      </c>
      <c r="B41" s="98" t="s">
        <v>499</v>
      </c>
      <c r="C41" s="99" t="s">
        <v>53</v>
      </c>
      <c r="D41" s="99">
        <v>1</v>
      </c>
      <c r="E41" s="45">
        <v>105</v>
      </c>
      <c r="F41" s="99">
        <f t="shared" ref="F41:F51" si="5">D41*E41</f>
        <v>105</v>
      </c>
      <c r="G41" s="83" t="s">
        <v>53</v>
      </c>
      <c r="H41" s="42">
        <v>0</v>
      </c>
      <c r="I41" s="41">
        <v>0</v>
      </c>
      <c r="J41" s="42">
        <f t="shared" ref="J41:K52" si="6">$D41*H41</f>
        <v>0</v>
      </c>
      <c r="K41" s="42">
        <f t="shared" si="6"/>
        <v>0</v>
      </c>
      <c r="L41" s="42">
        <f t="shared" ref="L41:L47" si="7">J41+K41</f>
        <v>0</v>
      </c>
    </row>
    <row r="42" spans="1:244" s="81" customFormat="1" ht="50" x14ac:dyDescent="0.25">
      <c r="A42" s="97" t="s">
        <v>171</v>
      </c>
      <c r="B42" s="44" t="s">
        <v>441</v>
      </c>
      <c r="C42" s="41" t="s">
        <v>53</v>
      </c>
      <c r="D42" s="46">
        <v>1</v>
      </c>
      <c r="E42" s="45">
        <f>41</f>
        <v>41</v>
      </c>
      <c r="F42" s="41">
        <f t="shared" si="5"/>
        <v>41</v>
      </c>
      <c r="G42" s="41" t="s">
        <v>53</v>
      </c>
      <c r="H42" s="41">
        <v>0</v>
      </c>
      <c r="I42" s="41">
        <v>0</v>
      </c>
      <c r="J42" s="41">
        <f t="shared" si="6"/>
        <v>0</v>
      </c>
      <c r="K42" s="41">
        <f t="shared" si="6"/>
        <v>0</v>
      </c>
      <c r="L42" s="41">
        <f t="shared" si="7"/>
        <v>0</v>
      </c>
    </row>
    <row r="43" spans="1:244" s="81" customFormat="1" ht="75" x14ac:dyDescent="0.25">
      <c r="A43" s="97" t="s">
        <v>172</v>
      </c>
      <c r="B43" s="44" t="s">
        <v>442</v>
      </c>
      <c r="C43" s="41" t="s">
        <v>53</v>
      </c>
      <c r="D43" s="41">
        <v>1</v>
      </c>
      <c r="E43" s="45">
        <v>5.7</v>
      </c>
      <c r="F43" s="41">
        <f>D43*E43</f>
        <v>5.7</v>
      </c>
      <c r="G43" s="41" t="s">
        <v>53</v>
      </c>
      <c r="H43" s="41">
        <v>0</v>
      </c>
      <c r="I43" s="41">
        <v>0</v>
      </c>
      <c r="J43" s="41">
        <f>$D43*H43</f>
        <v>0</v>
      </c>
      <c r="K43" s="41">
        <f>$D43*I43</f>
        <v>0</v>
      </c>
      <c r="L43" s="41">
        <f>J43+K43</f>
        <v>0</v>
      </c>
    </row>
    <row r="44" spans="1:244" s="81" customFormat="1" ht="64.5" x14ac:dyDescent="0.25">
      <c r="A44" s="97" t="s">
        <v>164</v>
      </c>
      <c r="B44" s="44" t="s">
        <v>500</v>
      </c>
      <c r="C44" s="41" t="s">
        <v>53</v>
      </c>
      <c r="D44" s="45">
        <v>1</v>
      </c>
      <c r="E44" s="45">
        <v>105</v>
      </c>
      <c r="F44" s="45">
        <f t="shared" si="5"/>
        <v>105</v>
      </c>
      <c r="G44" s="41" t="s">
        <v>53</v>
      </c>
      <c r="H44" s="41">
        <v>0</v>
      </c>
      <c r="I44" s="41">
        <v>0</v>
      </c>
      <c r="J44" s="41">
        <f t="shared" si="6"/>
        <v>0</v>
      </c>
      <c r="K44" s="41">
        <f t="shared" si="6"/>
        <v>0</v>
      </c>
      <c r="L44" s="41">
        <f t="shared" si="7"/>
        <v>0</v>
      </c>
    </row>
    <row r="45" spans="1:244" s="81" customFormat="1" ht="112.5" x14ac:dyDescent="0.25">
      <c r="A45" s="97" t="s">
        <v>165</v>
      </c>
      <c r="B45" s="98" t="s">
        <v>501</v>
      </c>
      <c r="C45" s="99" t="s">
        <v>53</v>
      </c>
      <c r="D45" s="99">
        <v>1</v>
      </c>
      <c r="E45" s="99">
        <v>58</v>
      </c>
      <c r="F45" s="99">
        <f t="shared" si="5"/>
        <v>58</v>
      </c>
      <c r="G45" s="83" t="s">
        <v>53</v>
      </c>
      <c r="H45" s="42">
        <v>0</v>
      </c>
      <c r="I45" s="41">
        <v>0</v>
      </c>
      <c r="J45" s="42">
        <f t="shared" si="6"/>
        <v>0</v>
      </c>
      <c r="K45" s="42">
        <f t="shared" si="6"/>
        <v>0</v>
      </c>
      <c r="L45" s="42">
        <f t="shared" si="7"/>
        <v>0</v>
      </c>
    </row>
    <row r="46" spans="1:244" s="81" customFormat="1" ht="156" x14ac:dyDescent="0.25">
      <c r="A46" s="16" t="s">
        <v>166</v>
      </c>
      <c r="B46" s="44" t="s">
        <v>504</v>
      </c>
      <c r="C46" s="42" t="s">
        <v>53</v>
      </c>
      <c r="D46" s="47">
        <v>1</v>
      </c>
      <c r="E46" s="42">
        <v>872</v>
      </c>
      <c r="F46" s="42">
        <f t="shared" si="5"/>
        <v>872</v>
      </c>
      <c r="G46" s="41" t="s">
        <v>53</v>
      </c>
      <c r="H46" s="41">
        <v>0</v>
      </c>
      <c r="I46" s="41">
        <v>0</v>
      </c>
      <c r="J46" s="42">
        <f t="shared" si="6"/>
        <v>0</v>
      </c>
      <c r="K46" s="42">
        <f t="shared" si="6"/>
        <v>0</v>
      </c>
      <c r="L46" s="41">
        <f t="shared" si="7"/>
        <v>0</v>
      </c>
    </row>
    <row r="47" spans="1:244" ht="79" x14ac:dyDescent="0.25">
      <c r="A47" s="61" t="s">
        <v>167</v>
      </c>
      <c r="B47" s="44" t="s">
        <v>502</v>
      </c>
      <c r="C47" s="42" t="s">
        <v>53</v>
      </c>
      <c r="D47" s="47">
        <v>2</v>
      </c>
      <c r="E47" s="47">
        <v>25.5</v>
      </c>
      <c r="F47" s="42">
        <f t="shared" si="5"/>
        <v>51</v>
      </c>
      <c r="G47" s="42" t="s">
        <v>53</v>
      </c>
      <c r="H47" s="41">
        <v>0</v>
      </c>
      <c r="I47" s="41">
        <v>0</v>
      </c>
      <c r="J47" s="42">
        <f t="shared" si="6"/>
        <v>0</v>
      </c>
      <c r="K47" s="42">
        <f>$D47*I47</f>
        <v>0</v>
      </c>
      <c r="L47" s="41">
        <f t="shared" si="7"/>
        <v>0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  <c r="FP47" s="43"/>
      <c r="FQ47" s="43"/>
      <c r="FR47" s="43"/>
      <c r="FS47" s="43"/>
      <c r="FT47" s="43"/>
      <c r="FU47" s="43"/>
      <c r="FV47" s="43"/>
      <c r="FW47" s="43"/>
      <c r="FX47" s="43"/>
      <c r="FY47" s="43"/>
      <c r="FZ47" s="43"/>
      <c r="GA47" s="43"/>
      <c r="GB47" s="43"/>
      <c r="GC47" s="43"/>
      <c r="GD47" s="43"/>
      <c r="GE47" s="43"/>
      <c r="GF47" s="43"/>
      <c r="GG47" s="43"/>
      <c r="GH47" s="43"/>
      <c r="GI47" s="43"/>
      <c r="GJ47" s="43"/>
      <c r="GK47" s="43"/>
      <c r="GL47" s="43"/>
      <c r="GM47" s="43"/>
      <c r="GN47" s="43"/>
      <c r="GO47" s="43"/>
      <c r="GP47" s="43"/>
      <c r="GQ47" s="43"/>
      <c r="GR47" s="43"/>
      <c r="GS47" s="43"/>
      <c r="GT47" s="43"/>
      <c r="GU47" s="43"/>
      <c r="GV47" s="43"/>
      <c r="GW47" s="43"/>
      <c r="GX47" s="43"/>
      <c r="GY47" s="43"/>
      <c r="GZ47" s="43"/>
      <c r="HA47" s="43"/>
      <c r="HB47" s="43"/>
      <c r="HC47" s="43"/>
      <c r="HD47" s="43"/>
      <c r="HE47" s="43"/>
      <c r="HF47" s="43"/>
      <c r="HG47" s="43"/>
      <c r="HH47" s="43"/>
      <c r="HI47" s="43"/>
      <c r="HJ47" s="43"/>
      <c r="HK47" s="43"/>
      <c r="HL47" s="43"/>
      <c r="HM47" s="43"/>
      <c r="HN47" s="43"/>
      <c r="HO47" s="43"/>
      <c r="HP47" s="43"/>
      <c r="HQ47" s="43"/>
      <c r="HR47" s="43"/>
      <c r="HS47" s="43"/>
      <c r="HT47" s="43"/>
      <c r="HU47" s="43"/>
      <c r="HV47" s="43"/>
      <c r="HW47" s="43"/>
      <c r="HX47" s="43"/>
      <c r="HY47" s="43"/>
      <c r="HZ47" s="43"/>
      <c r="IA47" s="43"/>
      <c r="IB47" s="43"/>
      <c r="IC47" s="43"/>
      <c r="ID47" s="43"/>
      <c r="IE47" s="43"/>
      <c r="IF47" s="43"/>
      <c r="IG47" s="43"/>
      <c r="IH47" s="43"/>
      <c r="II47" s="43"/>
      <c r="IJ47" s="43"/>
    </row>
    <row r="48" spans="1:244" ht="52" x14ac:dyDescent="0.25">
      <c r="A48" s="61" t="s">
        <v>168</v>
      </c>
      <c r="B48" s="44" t="s">
        <v>503</v>
      </c>
      <c r="C48" s="42" t="s">
        <v>53</v>
      </c>
      <c r="D48" s="47">
        <v>1</v>
      </c>
      <c r="E48" s="47">
        <v>26.6</v>
      </c>
      <c r="F48" s="42">
        <f>D48*E48</f>
        <v>26.6</v>
      </c>
      <c r="G48" s="42" t="s">
        <v>53</v>
      </c>
      <c r="H48" s="41">
        <v>0</v>
      </c>
      <c r="I48" s="41">
        <v>0</v>
      </c>
      <c r="J48" s="42">
        <f>$D48*H48</f>
        <v>0</v>
      </c>
      <c r="K48" s="42">
        <f>$D48*I48</f>
        <v>0</v>
      </c>
      <c r="L48" s="41">
        <f t="shared" ref="L48:L53" si="8">J48+K48</f>
        <v>0</v>
      </c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  <c r="HF48" s="43"/>
      <c r="HG48" s="43"/>
      <c r="HH48" s="43"/>
      <c r="HI48" s="43"/>
      <c r="HJ48" s="43"/>
      <c r="HK48" s="43"/>
      <c r="HL48" s="43"/>
      <c r="HM48" s="43"/>
      <c r="HN48" s="43"/>
      <c r="HO48" s="43"/>
      <c r="HP48" s="43"/>
      <c r="HQ48" s="43"/>
      <c r="HR48" s="43"/>
      <c r="HS48" s="43"/>
      <c r="HT48" s="43"/>
      <c r="HU48" s="43"/>
      <c r="HV48" s="43"/>
      <c r="HW48" s="43"/>
      <c r="HX48" s="43"/>
      <c r="HY48" s="43"/>
      <c r="HZ48" s="43"/>
      <c r="IA48" s="43"/>
      <c r="IB48" s="43"/>
      <c r="IC48" s="43"/>
      <c r="ID48" s="43"/>
      <c r="IE48" s="43"/>
      <c r="IF48" s="43"/>
      <c r="IG48" s="43"/>
      <c r="IH48" s="43"/>
      <c r="II48" s="43"/>
      <c r="IJ48" s="43"/>
    </row>
    <row r="49" spans="1:244" ht="62.5" x14ac:dyDescent="0.25">
      <c r="A49" s="61" t="s">
        <v>352</v>
      </c>
      <c r="B49" s="44" t="s">
        <v>443</v>
      </c>
      <c r="C49" s="41" t="s">
        <v>53</v>
      </c>
      <c r="D49" s="46">
        <v>1</v>
      </c>
      <c r="E49" s="45">
        <v>61</v>
      </c>
      <c r="F49" s="41">
        <f>D49*E49</f>
        <v>61</v>
      </c>
      <c r="G49" s="41" t="s">
        <v>53</v>
      </c>
      <c r="H49" s="42">
        <v>0</v>
      </c>
      <c r="I49" s="41">
        <v>0</v>
      </c>
      <c r="J49" s="41">
        <f t="shared" si="6"/>
        <v>0</v>
      </c>
      <c r="K49" s="41">
        <f t="shared" si="6"/>
        <v>0</v>
      </c>
      <c r="L49" s="41">
        <f t="shared" si="8"/>
        <v>0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3"/>
      <c r="GB49" s="43"/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43"/>
      <c r="GO49" s="43"/>
      <c r="GP49" s="43"/>
      <c r="GQ49" s="43"/>
      <c r="GR49" s="43"/>
      <c r="GS49" s="43"/>
      <c r="GT49" s="43"/>
      <c r="GU49" s="43"/>
      <c r="GV49" s="43"/>
      <c r="GW49" s="43"/>
      <c r="GX49" s="43"/>
      <c r="GY49" s="43"/>
      <c r="GZ49" s="43"/>
      <c r="HA49" s="43"/>
      <c r="HB49" s="43"/>
      <c r="HC49" s="43"/>
      <c r="HD49" s="43"/>
      <c r="HE49" s="43"/>
      <c r="HF49" s="43"/>
      <c r="HG49" s="43"/>
      <c r="HH49" s="43"/>
      <c r="HI49" s="43"/>
      <c r="HJ49" s="43"/>
      <c r="HK49" s="43"/>
      <c r="HL49" s="43"/>
      <c r="HM49" s="43"/>
      <c r="HN49" s="43"/>
      <c r="HO49" s="43"/>
      <c r="HP49" s="43"/>
      <c r="HQ49" s="43"/>
      <c r="HR49" s="43"/>
      <c r="HS49" s="43"/>
      <c r="HT49" s="43"/>
      <c r="HU49" s="43"/>
      <c r="HV49" s="43"/>
      <c r="HW49" s="43"/>
      <c r="HX49" s="43"/>
      <c r="HY49" s="43"/>
      <c r="HZ49" s="43"/>
      <c r="IA49" s="43"/>
      <c r="IB49" s="43"/>
      <c r="IC49" s="43"/>
      <c r="ID49" s="43"/>
      <c r="IE49" s="43"/>
      <c r="IF49" s="43"/>
      <c r="IG49" s="43"/>
      <c r="IH49" s="43"/>
      <c r="II49" s="43"/>
      <c r="IJ49" s="43"/>
    </row>
    <row r="50" spans="1:244" s="81" customFormat="1" ht="52" x14ac:dyDescent="0.25">
      <c r="A50" s="97" t="s">
        <v>170</v>
      </c>
      <c r="B50" s="44" t="s">
        <v>169</v>
      </c>
      <c r="C50" s="41" t="s">
        <v>53</v>
      </c>
      <c r="D50" s="46">
        <v>1</v>
      </c>
      <c r="E50" s="45">
        <v>10.6</v>
      </c>
      <c r="F50" s="41">
        <f t="shared" si="5"/>
        <v>10.6</v>
      </c>
      <c r="G50" s="83" t="s">
        <v>53</v>
      </c>
      <c r="H50" s="41">
        <v>0</v>
      </c>
      <c r="I50" s="41">
        <v>0</v>
      </c>
      <c r="J50" s="41">
        <f t="shared" si="6"/>
        <v>0</v>
      </c>
      <c r="K50" s="41">
        <f t="shared" si="6"/>
        <v>0</v>
      </c>
      <c r="L50" s="41">
        <f t="shared" si="8"/>
        <v>0</v>
      </c>
    </row>
    <row r="51" spans="1:244" s="43" customFormat="1" ht="75" x14ac:dyDescent="0.25">
      <c r="A51" s="97" t="s">
        <v>173</v>
      </c>
      <c r="B51" s="44" t="s">
        <v>505</v>
      </c>
      <c r="C51" s="41" t="s">
        <v>53</v>
      </c>
      <c r="D51" s="46">
        <v>1</v>
      </c>
      <c r="E51" s="45">
        <v>18.399999999999999</v>
      </c>
      <c r="F51" s="41">
        <f t="shared" si="5"/>
        <v>18.399999999999999</v>
      </c>
      <c r="G51" s="41" t="s">
        <v>53</v>
      </c>
      <c r="H51" s="41">
        <v>0</v>
      </c>
      <c r="I51" s="41">
        <v>0</v>
      </c>
      <c r="J51" s="41">
        <f t="shared" si="6"/>
        <v>0</v>
      </c>
      <c r="K51" s="41">
        <f t="shared" si="6"/>
        <v>0</v>
      </c>
      <c r="L51" s="41">
        <f t="shared" si="8"/>
        <v>0</v>
      </c>
    </row>
    <row r="52" spans="1:244" s="81" customFormat="1" ht="25" x14ac:dyDescent="0.25">
      <c r="A52" s="97" t="s">
        <v>328</v>
      </c>
      <c r="B52" s="44" t="s">
        <v>364</v>
      </c>
      <c r="C52" s="42" t="s">
        <v>53</v>
      </c>
      <c r="D52" s="46">
        <v>1</v>
      </c>
      <c r="E52" s="45">
        <v>8.8000000000000007</v>
      </c>
      <c r="F52" s="45">
        <f>D52*E52</f>
        <v>8.8000000000000007</v>
      </c>
      <c r="G52" s="41" t="s">
        <v>53</v>
      </c>
      <c r="H52" s="41">
        <v>0</v>
      </c>
      <c r="I52" s="41">
        <v>0</v>
      </c>
      <c r="J52" s="42">
        <f t="shared" si="6"/>
        <v>0</v>
      </c>
      <c r="K52" s="42">
        <f t="shared" si="6"/>
        <v>0</v>
      </c>
      <c r="L52" s="41">
        <f t="shared" si="8"/>
        <v>0</v>
      </c>
    </row>
    <row r="53" spans="1:244" s="81" customFormat="1" x14ac:dyDescent="0.25">
      <c r="A53" s="97" t="s">
        <v>356</v>
      </c>
      <c r="B53" s="98" t="s">
        <v>444</v>
      </c>
      <c r="C53" s="99" t="s">
        <v>53</v>
      </c>
      <c r="D53" s="99">
        <v>1</v>
      </c>
      <c r="E53" s="45">
        <v>175</v>
      </c>
      <c r="F53" s="99">
        <f>D53*E53</f>
        <v>175</v>
      </c>
      <c r="G53" s="83" t="s">
        <v>53</v>
      </c>
      <c r="H53" s="42">
        <v>0</v>
      </c>
      <c r="I53" s="41">
        <v>0</v>
      </c>
      <c r="J53" s="42">
        <f>$D53*H53</f>
        <v>0</v>
      </c>
      <c r="K53" s="42">
        <f>$D53*I53</f>
        <v>0</v>
      </c>
      <c r="L53" s="42">
        <f t="shared" si="8"/>
        <v>0</v>
      </c>
    </row>
    <row r="54" spans="1:244" s="10" customFormat="1" ht="13" x14ac:dyDescent="0.25">
      <c r="A54" s="16"/>
      <c r="B54" s="2"/>
      <c r="C54" s="3"/>
      <c r="D54" s="1"/>
      <c r="E54" s="1"/>
      <c r="F54" s="1"/>
      <c r="G54" s="1"/>
      <c r="H54" s="3"/>
      <c r="I54" s="3"/>
      <c r="J54" s="3"/>
      <c r="K54" s="3"/>
      <c r="L54" s="1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s="10" customFormat="1" ht="13" x14ac:dyDescent="0.25">
      <c r="A55" s="48"/>
      <c r="B55" s="49" t="s">
        <v>57</v>
      </c>
      <c r="C55" s="41"/>
      <c r="D55" s="1"/>
      <c r="E55" s="50"/>
      <c r="F55" s="50">
        <f>SUM(F29:F54)</f>
        <v>11035.7</v>
      </c>
      <c r="G55" s="50"/>
      <c r="H55" s="50"/>
      <c r="I55" s="50"/>
      <c r="J55" s="50">
        <f>CEILING(SUM(J29:J54),1)</f>
        <v>0</v>
      </c>
      <c r="K55" s="50">
        <f>CEILING(SUM(K29:K54),1)</f>
        <v>0</v>
      </c>
      <c r="L55" s="50">
        <f>J55+K55</f>
        <v>0</v>
      </c>
    </row>
    <row r="56" spans="1:244" ht="13" x14ac:dyDescent="0.25">
      <c r="A56" s="48"/>
      <c r="B56" s="49"/>
      <c r="C56" s="50"/>
      <c r="D56" s="51"/>
      <c r="E56" s="50"/>
      <c r="F56" s="50"/>
      <c r="G56" s="50"/>
      <c r="H56" s="50"/>
      <c r="I56" s="50"/>
      <c r="J56" s="50"/>
      <c r="K56" s="50"/>
      <c r="L56" s="5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</row>
    <row r="57" spans="1:244" ht="13" x14ac:dyDescent="0.25">
      <c r="A57" s="95" t="s">
        <v>54</v>
      </c>
      <c r="B57" s="13" t="s">
        <v>58</v>
      </c>
      <c r="C57" s="12"/>
      <c r="D57" s="12"/>
      <c r="E57" s="12"/>
      <c r="F57" s="12"/>
      <c r="G57" s="12"/>
      <c r="H57" s="11"/>
      <c r="I57" s="11"/>
      <c r="J57" s="11"/>
      <c r="K57" s="11"/>
      <c r="L57" s="11"/>
    </row>
    <row r="58" spans="1:244" s="91" customFormat="1" ht="14" x14ac:dyDescent="0.25">
      <c r="A58" s="18" t="s">
        <v>92</v>
      </c>
      <c r="B58" s="52" t="s">
        <v>315</v>
      </c>
      <c r="C58" s="53" t="s">
        <v>53</v>
      </c>
      <c r="D58" s="53">
        <v>1</v>
      </c>
      <c r="E58" s="12"/>
      <c r="F58" s="12"/>
      <c r="G58" s="12"/>
      <c r="H58" s="11"/>
      <c r="I58" s="11"/>
      <c r="J58" s="11"/>
      <c r="K58" s="11"/>
      <c r="L58" s="11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s="91" customFormat="1" ht="37.5" x14ac:dyDescent="0.25">
      <c r="A59" s="87" t="s">
        <v>93</v>
      </c>
      <c r="B59" s="40" t="s">
        <v>445</v>
      </c>
      <c r="C59" s="88" t="s">
        <v>53</v>
      </c>
      <c r="D59" s="88">
        <f>1</f>
        <v>1</v>
      </c>
      <c r="E59" s="89">
        <v>2</v>
      </c>
      <c r="F59" s="89">
        <f>D59*E59</f>
        <v>2</v>
      </c>
      <c r="G59" s="83" t="s">
        <v>53</v>
      </c>
      <c r="H59" s="90">
        <v>0</v>
      </c>
      <c r="I59" s="90">
        <v>0</v>
      </c>
      <c r="J59" s="88">
        <f>$D59*H59</f>
        <v>0</v>
      </c>
      <c r="K59" s="88">
        <f>$D59*I59</f>
        <v>0</v>
      </c>
      <c r="L59" s="88">
        <f t="shared" ref="L59:L64" si="9">J59+K59</f>
        <v>0</v>
      </c>
    </row>
    <row r="60" spans="1:244" s="81" customFormat="1" ht="14" x14ac:dyDescent="0.25">
      <c r="A60" s="54"/>
      <c r="B60" s="56" t="s">
        <v>119</v>
      </c>
      <c r="C60" s="88" t="s">
        <v>53</v>
      </c>
      <c r="D60" s="88">
        <f>D59</f>
        <v>1</v>
      </c>
      <c r="E60" s="89"/>
      <c r="F60" s="88"/>
      <c r="G60" s="88"/>
      <c r="H60" s="90">
        <v>0</v>
      </c>
      <c r="I60" s="90">
        <v>0</v>
      </c>
      <c r="J60" s="88">
        <f>$D60*H60</f>
        <v>0</v>
      </c>
      <c r="K60" s="41">
        <f t="shared" ref="K60:K61" si="10">$D60*I60</f>
        <v>0</v>
      </c>
      <c r="L60" s="88">
        <f t="shared" si="9"/>
        <v>0</v>
      </c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  <c r="CD60" s="91"/>
      <c r="CE60" s="91"/>
      <c r="CF60" s="91"/>
      <c r="CG60" s="91"/>
      <c r="CH60" s="91"/>
      <c r="CI60" s="91"/>
      <c r="CJ60" s="91"/>
      <c r="CK60" s="91"/>
      <c r="CL60" s="91"/>
      <c r="CM60" s="91"/>
      <c r="CN60" s="91"/>
      <c r="CO60" s="91"/>
      <c r="CP60" s="91"/>
      <c r="CQ60" s="91"/>
      <c r="CR60" s="91"/>
      <c r="CS60" s="91"/>
      <c r="CT60" s="91"/>
      <c r="CU60" s="91"/>
      <c r="CV60" s="91"/>
      <c r="CW60" s="91"/>
      <c r="CX60" s="91"/>
      <c r="CY60" s="91"/>
      <c r="CZ60" s="91"/>
      <c r="DA60" s="91"/>
      <c r="DB60" s="91"/>
      <c r="DC60" s="91"/>
      <c r="DD60" s="91"/>
      <c r="DE60" s="91"/>
      <c r="DF60" s="91"/>
      <c r="DG60" s="91"/>
      <c r="DH60" s="91"/>
      <c r="DI60" s="91"/>
      <c r="DJ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E60" s="91"/>
      <c r="EF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  <c r="FF60" s="91"/>
      <c r="FG60" s="91"/>
      <c r="FH60" s="91"/>
      <c r="FI60" s="91"/>
      <c r="FJ60" s="91"/>
      <c r="FK60" s="91"/>
      <c r="FL60" s="91"/>
      <c r="FM60" s="91"/>
      <c r="FN60" s="91"/>
      <c r="FO60" s="91"/>
      <c r="FP60" s="91"/>
      <c r="FQ60" s="91"/>
      <c r="FR60" s="91"/>
      <c r="FS60" s="91"/>
      <c r="FT60" s="91"/>
      <c r="FU60" s="91"/>
      <c r="FV60" s="91"/>
      <c r="FW60" s="91"/>
      <c r="FX60" s="91"/>
      <c r="FY60" s="91"/>
      <c r="FZ60" s="91"/>
      <c r="GA60" s="91"/>
      <c r="GB60" s="91"/>
      <c r="GC60" s="91"/>
      <c r="GD60" s="91"/>
      <c r="GE60" s="91"/>
      <c r="GF60" s="91"/>
      <c r="GG60" s="91"/>
      <c r="GH60" s="91"/>
      <c r="GI60" s="91"/>
      <c r="GJ60" s="91"/>
      <c r="GK60" s="91"/>
      <c r="GL60" s="91"/>
      <c r="GM60" s="91"/>
      <c r="GN60" s="91"/>
      <c r="GO60" s="91"/>
      <c r="GP60" s="91"/>
      <c r="GQ60" s="91"/>
      <c r="GR60" s="91"/>
      <c r="GS60" s="91"/>
      <c r="GT60" s="91"/>
      <c r="GU60" s="91"/>
      <c r="GV60" s="91"/>
      <c r="GW60" s="91"/>
      <c r="GX60" s="91"/>
      <c r="GY60" s="91"/>
      <c r="GZ60" s="91"/>
      <c r="HA60" s="91"/>
      <c r="HB60" s="91"/>
      <c r="HC60" s="91"/>
      <c r="HD60" s="91"/>
      <c r="HE60" s="91"/>
      <c r="HF60" s="91"/>
      <c r="HG60" s="91"/>
      <c r="HH60" s="91"/>
      <c r="HI60" s="91"/>
      <c r="HJ60" s="91"/>
      <c r="HK60" s="91"/>
      <c r="HL60" s="91"/>
      <c r="HM60" s="91"/>
      <c r="HN60" s="91"/>
      <c r="HO60" s="91"/>
      <c r="HP60" s="91"/>
      <c r="HQ60" s="91"/>
      <c r="HR60" s="91"/>
      <c r="HS60" s="91"/>
      <c r="HT60" s="91"/>
      <c r="HU60" s="91"/>
      <c r="HV60" s="91"/>
      <c r="HW60" s="91"/>
      <c r="HX60" s="91"/>
      <c r="HY60" s="91"/>
      <c r="HZ60" s="91"/>
      <c r="IA60" s="91"/>
      <c r="IB60" s="91"/>
      <c r="IC60" s="91"/>
      <c r="ID60" s="91"/>
      <c r="IE60" s="91"/>
      <c r="IF60" s="91"/>
      <c r="IG60" s="91"/>
      <c r="IH60" s="91"/>
      <c r="II60" s="91"/>
      <c r="IJ60" s="91"/>
    </row>
    <row r="61" spans="1:244" s="81" customFormat="1" ht="14" x14ac:dyDescent="0.25">
      <c r="A61" s="54"/>
      <c r="B61" s="56" t="s">
        <v>160</v>
      </c>
      <c r="C61" s="41" t="s">
        <v>14</v>
      </c>
      <c r="D61" s="88">
        <f>D59</f>
        <v>1</v>
      </c>
      <c r="E61" s="89"/>
      <c r="F61" s="88"/>
      <c r="G61" s="88"/>
      <c r="H61" s="90">
        <v>0</v>
      </c>
      <c r="I61" s="90">
        <v>0</v>
      </c>
      <c r="J61" s="88">
        <f>$D61*H61</f>
        <v>0</v>
      </c>
      <c r="K61" s="41">
        <f t="shared" si="10"/>
        <v>0</v>
      </c>
      <c r="L61" s="88">
        <f t="shared" si="9"/>
        <v>0</v>
      </c>
    </row>
    <row r="62" spans="1:244" s="43" customFormat="1" x14ac:dyDescent="0.25">
      <c r="A62" s="54" t="s">
        <v>124</v>
      </c>
      <c r="B62" s="40" t="s">
        <v>451</v>
      </c>
      <c r="C62" s="41" t="s">
        <v>53</v>
      </c>
      <c r="D62" s="41">
        <f>1</f>
        <v>1</v>
      </c>
      <c r="E62" s="45">
        <v>9.75</v>
      </c>
      <c r="F62" s="41">
        <f>D62*E62</f>
        <v>9.75</v>
      </c>
      <c r="G62" s="41" t="s">
        <v>53</v>
      </c>
      <c r="H62" s="41">
        <v>0</v>
      </c>
      <c r="I62" s="41">
        <v>0</v>
      </c>
      <c r="J62" s="41">
        <f t="shared" ref="J62:K64" si="11">$D62*H62</f>
        <v>0</v>
      </c>
      <c r="K62" s="41">
        <f>$D62*I62</f>
        <v>0</v>
      </c>
      <c r="L62" s="41">
        <f t="shared" si="9"/>
        <v>0</v>
      </c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  <c r="IG62" s="81"/>
      <c r="IH62" s="81"/>
      <c r="II62" s="81"/>
      <c r="IJ62" s="81"/>
    </row>
    <row r="63" spans="1:244" s="43" customFormat="1" x14ac:dyDescent="0.25">
      <c r="A63" s="87" t="s">
        <v>94</v>
      </c>
      <c r="B63" s="44" t="s">
        <v>446</v>
      </c>
      <c r="C63" s="41" t="s">
        <v>53</v>
      </c>
      <c r="D63" s="41">
        <v>1</v>
      </c>
      <c r="E63" s="45">
        <v>0.3</v>
      </c>
      <c r="F63" s="45">
        <f>D63*E63</f>
        <v>0.3</v>
      </c>
      <c r="G63" s="83" t="s">
        <v>53</v>
      </c>
      <c r="H63" s="55">
        <v>0</v>
      </c>
      <c r="I63" s="45">
        <v>0</v>
      </c>
      <c r="J63" s="41">
        <f t="shared" si="11"/>
        <v>0</v>
      </c>
      <c r="K63" s="41">
        <f t="shared" si="11"/>
        <v>0</v>
      </c>
      <c r="L63" s="41">
        <f t="shared" si="9"/>
        <v>0</v>
      </c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  <c r="DH63" s="81"/>
      <c r="DI63" s="81"/>
      <c r="DJ63" s="81"/>
      <c r="DK63" s="81"/>
      <c r="DL63" s="81"/>
      <c r="DM63" s="81"/>
      <c r="DN63" s="81"/>
      <c r="DO63" s="81"/>
      <c r="DP63" s="81"/>
      <c r="DQ63" s="81"/>
      <c r="DR63" s="81"/>
      <c r="DS63" s="81"/>
      <c r="DT63" s="81"/>
      <c r="DU63" s="81"/>
      <c r="DV63" s="81"/>
      <c r="DW63" s="81"/>
      <c r="DX63" s="81"/>
      <c r="DY63" s="81"/>
      <c r="DZ63" s="81"/>
      <c r="EA63" s="81"/>
      <c r="EB63" s="81"/>
      <c r="EC63" s="81"/>
      <c r="ED63" s="81"/>
      <c r="EE63" s="81"/>
      <c r="EF63" s="81"/>
      <c r="EG63" s="81"/>
      <c r="EH63" s="81"/>
      <c r="EI63" s="81"/>
      <c r="EJ63" s="81"/>
      <c r="EK63" s="81"/>
      <c r="EL63" s="81"/>
      <c r="EM63" s="81"/>
      <c r="EN63" s="81"/>
      <c r="EO63" s="81"/>
      <c r="EP63" s="81"/>
      <c r="EQ63" s="81"/>
      <c r="ER63" s="81"/>
      <c r="ES63" s="81"/>
      <c r="ET63" s="81"/>
      <c r="EU63" s="81"/>
      <c r="EV63" s="81"/>
      <c r="EW63" s="81"/>
      <c r="EX63" s="81"/>
      <c r="EY63" s="81"/>
      <c r="EZ63" s="81"/>
      <c r="FA63" s="81"/>
      <c r="FB63" s="81"/>
      <c r="FC63" s="81"/>
      <c r="FD63" s="81"/>
      <c r="FE63" s="81"/>
      <c r="FF63" s="81"/>
      <c r="FG63" s="81"/>
      <c r="FH63" s="81"/>
      <c r="FI63" s="81"/>
      <c r="FJ63" s="81"/>
      <c r="FK63" s="81"/>
      <c r="FL63" s="81"/>
      <c r="FM63" s="81"/>
      <c r="FN63" s="81"/>
      <c r="FO63" s="81"/>
      <c r="FP63" s="81"/>
      <c r="FQ63" s="81"/>
      <c r="FR63" s="81"/>
      <c r="FS63" s="81"/>
      <c r="FT63" s="81"/>
      <c r="FU63" s="81"/>
      <c r="FV63" s="81"/>
      <c r="FW63" s="81"/>
      <c r="FX63" s="81"/>
      <c r="FY63" s="81"/>
      <c r="FZ63" s="81"/>
      <c r="GA63" s="81"/>
      <c r="GB63" s="81"/>
      <c r="GC63" s="81"/>
      <c r="GD63" s="81"/>
      <c r="GE63" s="81"/>
      <c r="GF63" s="81"/>
      <c r="GG63" s="81"/>
      <c r="GH63" s="81"/>
      <c r="GI63" s="81"/>
      <c r="GJ63" s="81"/>
      <c r="GK63" s="81"/>
      <c r="GL63" s="81"/>
      <c r="GM63" s="81"/>
      <c r="GN63" s="81"/>
      <c r="GO63" s="81"/>
      <c r="GP63" s="81"/>
      <c r="GQ63" s="81"/>
      <c r="GR63" s="81"/>
      <c r="GS63" s="81"/>
      <c r="GT63" s="81"/>
      <c r="GU63" s="81"/>
      <c r="GV63" s="81"/>
      <c r="GW63" s="81"/>
      <c r="GX63" s="81"/>
      <c r="GY63" s="81"/>
      <c r="GZ63" s="81"/>
      <c r="HA63" s="81"/>
      <c r="HB63" s="81"/>
      <c r="HC63" s="81"/>
      <c r="HD63" s="81"/>
      <c r="HE63" s="81"/>
      <c r="HF63" s="81"/>
      <c r="HG63" s="81"/>
      <c r="HH63" s="81"/>
      <c r="HI63" s="81"/>
      <c r="HJ63" s="81"/>
      <c r="HK63" s="81"/>
      <c r="HL63" s="81"/>
      <c r="HM63" s="81"/>
      <c r="HN63" s="81"/>
      <c r="HO63" s="81"/>
      <c r="HP63" s="81"/>
      <c r="HQ63" s="81"/>
      <c r="HR63" s="81"/>
      <c r="HS63" s="81"/>
      <c r="HT63" s="81"/>
      <c r="HU63" s="81"/>
      <c r="HV63" s="81"/>
      <c r="HW63" s="81"/>
      <c r="HX63" s="81"/>
      <c r="HY63" s="81"/>
      <c r="HZ63" s="81"/>
      <c r="IA63" s="81"/>
      <c r="IB63" s="81"/>
      <c r="IC63" s="81"/>
      <c r="ID63" s="81"/>
      <c r="IE63" s="81"/>
      <c r="IF63" s="81"/>
      <c r="IG63" s="81"/>
      <c r="IH63" s="81"/>
      <c r="II63" s="81"/>
      <c r="IJ63" s="81"/>
    </row>
    <row r="64" spans="1:244" s="43" customFormat="1" ht="25" x14ac:dyDescent="0.25">
      <c r="A64" s="54" t="s">
        <v>174</v>
      </c>
      <c r="B64" s="44" t="s">
        <v>447</v>
      </c>
      <c r="C64" s="41" t="s">
        <v>53</v>
      </c>
      <c r="D64" s="46">
        <v>1</v>
      </c>
      <c r="E64" s="45">
        <v>5.5</v>
      </c>
      <c r="F64" s="41">
        <f>D64*E64</f>
        <v>5.5</v>
      </c>
      <c r="G64" s="41" t="s">
        <v>53</v>
      </c>
      <c r="H64" s="41">
        <v>0</v>
      </c>
      <c r="I64" s="41">
        <v>0</v>
      </c>
      <c r="J64" s="41">
        <f t="shared" si="11"/>
        <v>0</v>
      </c>
      <c r="K64" s="41">
        <f t="shared" si="11"/>
        <v>0</v>
      </c>
      <c r="L64" s="41">
        <f t="shared" si="9"/>
        <v>0</v>
      </c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  <c r="DH64" s="81"/>
      <c r="DI64" s="81"/>
      <c r="DJ64" s="81"/>
      <c r="DK64" s="81"/>
      <c r="DL64" s="81"/>
      <c r="DM64" s="81"/>
      <c r="DN64" s="81"/>
      <c r="DO64" s="81"/>
      <c r="DP64" s="81"/>
      <c r="DQ64" s="81"/>
      <c r="DR64" s="81"/>
      <c r="DS64" s="81"/>
      <c r="DT64" s="81"/>
      <c r="DU64" s="81"/>
      <c r="DV64" s="81"/>
      <c r="DW64" s="81"/>
      <c r="DX64" s="81"/>
      <c r="DY64" s="81"/>
      <c r="DZ64" s="81"/>
      <c r="EA64" s="81"/>
      <c r="EB64" s="81"/>
      <c r="EC64" s="81"/>
      <c r="ED64" s="81"/>
      <c r="EE64" s="81"/>
      <c r="EF64" s="81"/>
      <c r="EG64" s="81"/>
      <c r="EH64" s="81"/>
      <c r="EI64" s="81"/>
      <c r="EJ64" s="81"/>
      <c r="EK64" s="81"/>
      <c r="EL64" s="81"/>
      <c r="EM64" s="81"/>
      <c r="EN64" s="81"/>
      <c r="EO64" s="81"/>
      <c r="EP64" s="81"/>
      <c r="EQ64" s="81"/>
      <c r="ER64" s="81"/>
      <c r="ES64" s="81"/>
      <c r="ET64" s="81"/>
      <c r="EU64" s="81"/>
      <c r="EV64" s="81"/>
      <c r="EW64" s="81"/>
      <c r="EX64" s="81"/>
      <c r="EY64" s="81"/>
      <c r="EZ64" s="81"/>
      <c r="FA64" s="81"/>
      <c r="FB64" s="81"/>
      <c r="FC64" s="81"/>
      <c r="FD64" s="81"/>
      <c r="FE64" s="81"/>
      <c r="FF64" s="81"/>
      <c r="FG64" s="81"/>
      <c r="FH64" s="81"/>
      <c r="FI64" s="81"/>
      <c r="FJ64" s="81"/>
      <c r="FK64" s="81"/>
      <c r="FL64" s="81"/>
      <c r="FM64" s="81"/>
      <c r="FN64" s="81"/>
      <c r="FO64" s="81"/>
      <c r="FP64" s="81"/>
      <c r="FQ64" s="81"/>
      <c r="FR64" s="81"/>
      <c r="FS64" s="81"/>
      <c r="FT64" s="81"/>
      <c r="FU64" s="81"/>
      <c r="FV64" s="81"/>
      <c r="FW64" s="81"/>
      <c r="FX64" s="81"/>
      <c r="FY64" s="81"/>
      <c r="FZ64" s="81"/>
      <c r="GA64" s="81"/>
      <c r="GB64" s="81"/>
      <c r="GC64" s="81"/>
      <c r="GD64" s="81"/>
      <c r="GE64" s="81"/>
      <c r="GF64" s="81"/>
      <c r="GG64" s="81"/>
      <c r="GH64" s="81"/>
      <c r="GI64" s="81"/>
      <c r="GJ64" s="81"/>
      <c r="GK64" s="81"/>
      <c r="GL64" s="81"/>
      <c r="GM64" s="81"/>
      <c r="GN64" s="81"/>
      <c r="GO64" s="81"/>
      <c r="GP64" s="81"/>
      <c r="GQ64" s="81"/>
      <c r="GR64" s="81"/>
      <c r="GS64" s="81"/>
      <c r="GT64" s="81"/>
      <c r="GU64" s="81"/>
      <c r="GV64" s="81"/>
      <c r="GW64" s="81"/>
      <c r="GX64" s="81"/>
      <c r="GY64" s="81"/>
      <c r="GZ64" s="81"/>
      <c r="HA64" s="81"/>
      <c r="HB64" s="81"/>
      <c r="HC64" s="81"/>
      <c r="HD64" s="81"/>
      <c r="HE64" s="81"/>
      <c r="HF64" s="81"/>
      <c r="HG64" s="81"/>
      <c r="HH64" s="81"/>
      <c r="HI64" s="81"/>
      <c r="HJ64" s="81"/>
      <c r="HK64" s="81"/>
      <c r="HL64" s="81"/>
      <c r="HM64" s="81"/>
      <c r="HN64" s="81"/>
      <c r="HO64" s="81"/>
      <c r="HP64" s="81"/>
      <c r="HQ64" s="81"/>
      <c r="HR64" s="81"/>
      <c r="HS64" s="81"/>
      <c r="HT64" s="81"/>
      <c r="HU64" s="81"/>
      <c r="HV64" s="81"/>
      <c r="HW64" s="81"/>
      <c r="HX64" s="81"/>
      <c r="HY64" s="81"/>
      <c r="HZ64" s="81"/>
      <c r="IA64" s="81"/>
      <c r="IB64" s="81"/>
      <c r="IC64" s="81"/>
      <c r="ID64" s="81"/>
      <c r="IE64" s="81"/>
      <c r="IF64" s="81"/>
      <c r="IG64" s="81"/>
      <c r="IH64" s="81"/>
      <c r="II64" s="81"/>
      <c r="IJ64" s="81"/>
    </row>
    <row r="65" spans="1:244" ht="13" x14ac:dyDescent="0.25">
      <c r="A65" s="18" t="s">
        <v>91</v>
      </c>
      <c r="B65" s="52" t="s">
        <v>175</v>
      </c>
      <c r="C65" s="53" t="s">
        <v>53</v>
      </c>
      <c r="D65" s="53">
        <v>1</v>
      </c>
      <c r="E65" s="12"/>
      <c r="F65" s="12"/>
      <c r="G65" s="12"/>
      <c r="H65" s="11"/>
      <c r="I65" s="11"/>
      <c r="J65" s="11"/>
      <c r="K65" s="11"/>
      <c r="L65" s="11"/>
    </row>
    <row r="66" spans="1:244" s="10" customFormat="1" ht="13" x14ac:dyDescent="0.25">
      <c r="A66" s="87" t="s">
        <v>125</v>
      </c>
      <c r="B66" s="44" t="s">
        <v>448</v>
      </c>
      <c r="C66" s="41" t="s">
        <v>53</v>
      </c>
      <c r="D66" s="41">
        <v>1</v>
      </c>
      <c r="E66" s="45">
        <v>0.3</v>
      </c>
      <c r="F66" s="45">
        <f>D66*E66</f>
        <v>0.3</v>
      </c>
      <c r="G66" s="83" t="s">
        <v>53</v>
      </c>
      <c r="H66" s="55">
        <v>0</v>
      </c>
      <c r="I66" s="45">
        <v>0</v>
      </c>
      <c r="J66" s="41">
        <f>$D66*H66</f>
        <v>0</v>
      </c>
      <c r="K66" s="41">
        <f>$D66*I66</f>
        <v>0</v>
      </c>
      <c r="L66" s="41">
        <f>J66+K66</f>
        <v>0</v>
      </c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  <c r="IG66" s="81"/>
      <c r="IH66" s="81"/>
      <c r="II66" s="81"/>
      <c r="IJ66" s="81"/>
    </row>
    <row r="67" spans="1:244" s="81" customFormat="1" ht="15" x14ac:dyDescent="0.25">
      <c r="A67" s="18" t="s">
        <v>120</v>
      </c>
      <c r="B67" s="52" t="s">
        <v>59</v>
      </c>
      <c r="C67" s="53" t="s">
        <v>53</v>
      </c>
      <c r="D67" s="53">
        <v>2</v>
      </c>
      <c r="E67" s="12"/>
      <c r="F67" s="12"/>
      <c r="G67" s="12"/>
      <c r="H67" s="11"/>
      <c r="I67" s="11"/>
      <c r="J67" s="11"/>
      <c r="K67" s="11"/>
      <c r="L67" s="11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</row>
    <row r="68" spans="1:244" s="81" customFormat="1" ht="25" x14ac:dyDescent="0.25">
      <c r="A68" s="87" t="s">
        <v>176</v>
      </c>
      <c r="B68" s="44" t="s">
        <v>449</v>
      </c>
      <c r="C68" s="41" t="s">
        <v>53</v>
      </c>
      <c r="D68" s="41">
        <v>1</v>
      </c>
      <c r="E68" s="45">
        <v>4.0999999999999996</v>
      </c>
      <c r="F68" s="41">
        <f>D68*E68</f>
        <v>4.0999999999999996</v>
      </c>
      <c r="G68" s="41" t="s">
        <v>53</v>
      </c>
      <c r="H68" s="41">
        <v>0</v>
      </c>
      <c r="I68" s="41">
        <v>0</v>
      </c>
      <c r="J68" s="41">
        <f>$D68*H68</f>
        <v>0</v>
      </c>
      <c r="K68" s="41">
        <f>$D68*I68</f>
        <v>0</v>
      </c>
      <c r="L68" s="41">
        <f>J68+K68</f>
        <v>0</v>
      </c>
    </row>
    <row r="69" spans="1:244" s="81" customFormat="1" x14ac:dyDescent="0.25">
      <c r="A69" s="54"/>
      <c r="B69" s="56" t="s">
        <v>122</v>
      </c>
      <c r="C69" s="41" t="s">
        <v>53</v>
      </c>
      <c r="D69" s="46">
        <f>D68</f>
        <v>1</v>
      </c>
      <c r="E69" s="45">
        <v>1</v>
      </c>
      <c r="F69" s="41">
        <f>D69*E69</f>
        <v>1</v>
      </c>
      <c r="G69" s="41" t="s">
        <v>14</v>
      </c>
      <c r="H69" s="41">
        <v>0</v>
      </c>
      <c r="I69" s="41">
        <v>0</v>
      </c>
      <c r="J69" s="41">
        <f t="shared" ref="J69:J77" si="12">$D69*H69</f>
        <v>0</v>
      </c>
      <c r="K69" s="41">
        <f t="shared" ref="K69:K70" si="13">$D69*I69</f>
        <v>0</v>
      </c>
      <c r="L69" s="41">
        <f>J69+K69</f>
        <v>0</v>
      </c>
    </row>
    <row r="70" spans="1:244" s="81" customFormat="1" x14ac:dyDescent="0.25">
      <c r="A70" s="54"/>
      <c r="B70" s="92" t="s">
        <v>123</v>
      </c>
      <c r="C70" s="41" t="s">
        <v>53</v>
      </c>
      <c r="D70" s="46">
        <f>D68</f>
        <v>1</v>
      </c>
      <c r="E70" s="45">
        <v>1</v>
      </c>
      <c r="F70" s="41">
        <f>D70*E70</f>
        <v>1</v>
      </c>
      <c r="G70" s="41" t="s">
        <v>14</v>
      </c>
      <c r="H70" s="41">
        <v>0</v>
      </c>
      <c r="I70" s="41">
        <v>0</v>
      </c>
      <c r="J70" s="41">
        <f t="shared" si="12"/>
        <v>0</v>
      </c>
      <c r="K70" s="41">
        <f t="shared" si="13"/>
        <v>0</v>
      </c>
      <c r="L70" s="41">
        <f>J70+K70</f>
        <v>0</v>
      </c>
    </row>
    <row r="71" spans="1:244" s="81" customFormat="1" ht="25" x14ac:dyDescent="0.25">
      <c r="A71" s="54" t="s">
        <v>177</v>
      </c>
      <c r="B71" s="44" t="s">
        <v>450</v>
      </c>
      <c r="C71" s="41" t="s">
        <v>53</v>
      </c>
      <c r="D71" s="41">
        <v>1</v>
      </c>
      <c r="E71" s="45">
        <v>3</v>
      </c>
      <c r="F71" s="41">
        <f>D71*E71</f>
        <v>3</v>
      </c>
      <c r="G71" s="41" t="s">
        <v>53</v>
      </c>
      <c r="H71" s="41">
        <v>0</v>
      </c>
      <c r="I71" s="41">
        <v>0</v>
      </c>
      <c r="J71" s="41">
        <f t="shared" si="12"/>
        <v>0</v>
      </c>
      <c r="K71" s="41">
        <f t="shared" ref="K71:K77" si="14">$D71*I71</f>
        <v>0</v>
      </c>
      <c r="L71" s="41">
        <f>J71+K71</f>
        <v>0</v>
      </c>
    </row>
    <row r="72" spans="1:244" x14ac:dyDescent="0.25">
      <c r="A72" s="54"/>
      <c r="B72" s="92" t="s">
        <v>452</v>
      </c>
      <c r="C72" s="41" t="s">
        <v>53</v>
      </c>
      <c r="D72" s="41">
        <f>D71</f>
        <v>1</v>
      </c>
      <c r="E72" s="45">
        <v>0.5</v>
      </c>
      <c r="F72" s="41">
        <f t="shared" ref="F72:F83" si="15">D72*E72</f>
        <v>0.5</v>
      </c>
      <c r="G72" s="41" t="s">
        <v>53</v>
      </c>
      <c r="H72" s="41">
        <v>0</v>
      </c>
      <c r="I72" s="41">
        <v>0</v>
      </c>
      <c r="J72" s="41">
        <f t="shared" si="12"/>
        <v>0</v>
      </c>
      <c r="K72" s="41">
        <f t="shared" si="14"/>
        <v>0</v>
      </c>
      <c r="L72" s="41">
        <f t="shared" ref="L72:L83" si="16">J72+K72</f>
        <v>0</v>
      </c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1"/>
      <c r="BO72" s="81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1"/>
      <c r="CC72" s="81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1"/>
      <c r="DF72" s="81"/>
      <c r="DG72" s="81"/>
      <c r="DH72" s="81"/>
      <c r="DI72" s="81"/>
      <c r="DJ72" s="81"/>
      <c r="DK72" s="81"/>
      <c r="DL72" s="81"/>
      <c r="DM72" s="81"/>
      <c r="DN72" s="81"/>
      <c r="DO72" s="81"/>
      <c r="DP72" s="81"/>
      <c r="DQ72" s="81"/>
      <c r="DR72" s="81"/>
      <c r="DS72" s="81"/>
      <c r="DT72" s="81"/>
      <c r="DU72" s="81"/>
      <c r="DV72" s="81"/>
      <c r="DW72" s="81"/>
      <c r="DX72" s="81"/>
      <c r="DY72" s="81"/>
      <c r="DZ72" s="81"/>
      <c r="EA72" s="81"/>
      <c r="EB72" s="81"/>
      <c r="EC72" s="81"/>
      <c r="ED72" s="81"/>
      <c r="EE72" s="81"/>
      <c r="EF72" s="81"/>
      <c r="EG72" s="81"/>
      <c r="EH72" s="81"/>
      <c r="EI72" s="81"/>
      <c r="EJ72" s="81"/>
      <c r="EK72" s="81"/>
      <c r="EL72" s="81"/>
      <c r="EM72" s="81"/>
      <c r="EN72" s="81"/>
      <c r="EO72" s="81"/>
      <c r="EP72" s="81"/>
      <c r="EQ72" s="81"/>
      <c r="ER72" s="81"/>
      <c r="ES72" s="81"/>
      <c r="ET72" s="81"/>
      <c r="EU72" s="81"/>
      <c r="EV72" s="81"/>
      <c r="EW72" s="81"/>
      <c r="EX72" s="81"/>
      <c r="EY72" s="81"/>
      <c r="EZ72" s="81"/>
      <c r="FA72" s="81"/>
      <c r="FB72" s="81"/>
      <c r="FC72" s="81"/>
      <c r="FD72" s="81"/>
      <c r="FE72" s="81"/>
      <c r="FF72" s="81"/>
      <c r="FG72" s="81"/>
      <c r="FH72" s="81"/>
      <c r="FI72" s="81"/>
      <c r="FJ72" s="81"/>
      <c r="FK72" s="81"/>
      <c r="FL72" s="81"/>
      <c r="FM72" s="81"/>
      <c r="FN72" s="81"/>
      <c r="FO72" s="81"/>
      <c r="FP72" s="81"/>
      <c r="FQ72" s="81"/>
      <c r="FR72" s="81"/>
      <c r="FS72" s="81"/>
      <c r="FT72" s="81"/>
      <c r="FU72" s="81"/>
      <c r="FV72" s="81"/>
      <c r="FW72" s="81"/>
      <c r="FX72" s="81"/>
      <c r="FY72" s="81"/>
      <c r="FZ72" s="81"/>
      <c r="GA72" s="81"/>
      <c r="GB72" s="81"/>
      <c r="GC72" s="81"/>
      <c r="GD72" s="81"/>
      <c r="GE72" s="81"/>
      <c r="GF72" s="81"/>
      <c r="GG72" s="81"/>
      <c r="GH72" s="81"/>
      <c r="GI72" s="81"/>
      <c r="GJ72" s="81"/>
      <c r="GK72" s="81"/>
      <c r="GL72" s="81"/>
      <c r="GM72" s="81"/>
      <c r="GN72" s="81"/>
      <c r="GO72" s="81"/>
      <c r="GP72" s="81"/>
      <c r="GQ72" s="81"/>
      <c r="GR72" s="81"/>
      <c r="GS72" s="81"/>
      <c r="GT72" s="81"/>
      <c r="GU72" s="81"/>
      <c r="GV72" s="81"/>
      <c r="GW72" s="81"/>
      <c r="GX72" s="81"/>
      <c r="GY72" s="81"/>
      <c r="GZ72" s="81"/>
      <c r="HA72" s="81"/>
      <c r="HB72" s="81"/>
      <c r="HC72" s="81"/>
      <c r="HD72" s="81"/>
      <c r="HE72" s="81"/>
      <c r="HF72" s="81"/>
      <c r="HG72" s="81"/>
      <c r="HH72" s="81"/>
      <c r="HI72" s="81"/>
      <c r="HJ72" s="81"/>
      <c r="HK72" s="81"/>
      <c r="HL72" s="81"/>
      <c r="HM72" s="81"/>
      <c r="HN72" s="81"/>
      <c r="HO72" s="81"/>
      <c r="HP72" s="81"/>
      <c r="HQ72" s="81"/>
      <c r="HR72" s="81"/>
      <c r="HS72" s="81"/>
      <c r="HT72" s="81"/>
      <c r="HU72" s="81"/>
      <c r="HV72" s="81"/>
      <c r="HW72" s="81"/>
      <c r="HX72" s="81"/>
      <c r="HY72" s="81"/>
      <c r="HZ72" s="81"/>
      <c r="IA72" s="81"/>
      <c r="IB72" s="81"/>
      <c r="IC72" s="81"/>
      <c r="ID72" s="81"/>
      <c r="IE72" s="81"/>
      <c r="IF72" s="81"/>
      <c r="IG72" s="81"/>
      <c r="IH72" s="81"/>
      <c r="II72" s="81"/>
      <c r="IJ72" s="81"/>
    </row>
    <row r="73" spans="1:244" s="81" customFormat="1" ht="37.5" x14ac:dyDescent="0.25">
      <c r="A73" s="54" t="s">
        <v>178</v>
      </c>
      <c r="B73" s="44" t="s">
        <v>453</v>
      </c>
      <c r="C73" s="41" t="s">
        <v>53</v>
      </c>
      <c r="D73" s="46">
        <f>2</f>
        <v>2</v>
      </c>
      <c r="E73" s="45">
        <v>0.8</v>
      </c>
      <c r="F73" s="41">
        <f>D73*E73</f>
        <v>1.6</v>
      </c>
      <c r="G73" s="41" t="s">
        <v>53</v>
      </c>
      <c r="H73" s="41">
        <v>0</v>
      </c>
      <c r="I73" s="41">
        <v>0</v>
      </c>
      <c r="J73" s="41">
        <f t="shared" si="12"/>
        <v>0</v>
      </c>
      <c r="K73" s="41">
        <f t="shared" si="14"/>
        <v>0</v>
      </c>
      <c r="L73" s="41">
        <f>J73+K73</f>
        <v>0</v>
      </c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  <c r="FP73" s="43"/>
      <c r="FQ73" s="43"/>
      <c r="FR73" s="43"/>
      <c r="FS73" s="43"/>
      <c r="FT73" s="43"/>
      <c r="FU73" s="43"/>
      <c r="FV73" s="43"/>
      <c r="FW73" s="43"/>
      <c r="FX73" s="43"/>
      <c r="FY73" s="43"/>
      <c r="FZ73" s="43"/>
      <c r="GA73" s="43"/>
      <c r="GB73" s="43"/>
      <c r="GC73" s="43"/>
      <c r="GD73" s="43"/>
      <c r="GE73" s="43"/>
      <c r="GF73" s="43"/>
      <c r="GG73" s="43"/>
      <c r="GH73" s="43"/>
      <c r="GI73" s="43"/>
      <c r="GJ73" s="43"/>
      <c r="GK73" s="43"/>
      <c r="GL73" s="43"/>
      <c r="GM73" s="43"/>
      <c r="GN73" s="43"/>
      <c r="GO73" s="43"/>
      <c r="GP73" s="43"/>
      <c r="GQ73" s="43"/>
      <c r="GR73" s="43"/>
      <c r="GS73" s="43"/>
      <c r="GT73" s="43"/>
      <c r="GU73" s="43"/>
      <c r="GV73" s="43"/>
      <c r="GW73" s="43"/>
      <c r="GX73" s="43"/>
      <c r="GY73" s="43"/>
      <c r="GZ73" s="43"/>
      <c r="HA73" s="43"/>
      <c r="HB73" s="43"/>
      <c r="HC73" s="43"/>
      <c r="HD73" s="43"/>
      <c r="HE73" s="43"/>
      <c r="HF73" s="43"/>
      <c r="HG73" s="43"/>
      <c r="HH73" s="43"/>
      <c r="HI73" s="43"/>
      <c r="HJ73" s="43"/>
      <c r="HK73" s="43"/>
      <c r="HL73" s="43"/>
      <c r="HM73" s="43"/>
      <c r="HN73" s="43"/>
      <c r="HO73" s="43"/>
      <c r="HP73" s="43"/>
      <c r="HQ73" s="43"/>
      <c r="HR73" s="43"/>
      <c r="HS73" s="43"/>
      <c r="HT73" s="43"/>
      <c r="HU73" s="43"/>
      <c r="HV73" s="43"/>
      <c r="HW73" s="43"/>
      <c r="HX73" s="43"/>
      <c r="HY73" s="43"/>
      <c r="HZ73" s="43"/>
      <c r="IA73" s="43"/>
      <c r="IB73" s="43"/>
      <c r="IC73" s="43"/>
      <c r="ID73" s="43"/>
      <c r="IE73" s="43"/>
      <c r="IF73" s="43"/>
      <c r="IG73" s="43"/>
      <c r="IH73" s="43"/>
      <c r="II73" s="43"/>
      <c r="IJ73" s="43"/>
    </row>
    <row r="74" spans="1:244" s="81" customFormat="1" x14ac:dyDescent="0.25">
      <c r="A74" s="54" t="s">
        <v>327</v>
      </c>
      <c r="B74" s="44" t="s">
        <v>454</v>
      </c>
      <c r="C74" s="41" t="s">
        <v>53</v>
      </c>
      <c r="D74" s="46">
        <v>1</v>
      </c>
      <c r="E74" s="45">
        <v>1</v>
      </c>
      <c r="F74" s="41">
        <f>D74*E74</f>
        <v>1</v>
      </c>
      <c r="G74" s="41" t="s">
        <v>53</v>
      </c>
      <c r="H74" s="41">
        <v>0</v>
      </c>
      <c r="I74" s="41">
        <v>0</v>
      </c>
      <c r="J74" s="41">
        <f t="shared" si="12"/>
        <v>0</v>
      </c>
      <c r="K74" s="41">
        <f t="shared" si="14"/>
        <v>0</v>
      </c>
      <c r="L74" s="41">
        <f>J74+K74</f>
        <v>0</v>
      </c>
    </row>
    <row r="75" spans="1:244" s="81" customFormat="1" x14ac:dyDescent="0.25">
      <c r="A75" s="54" t="s">
        <v>329</v>
      </c>
      <c r="B75" s="44" t="s">
        <v>454</v>
      </c>
      <c r="C75" s="41" t="s">
        <v>53</v>
      </c>
      <c r="D75" s="46">
        <v>1</v>
      </c>
      <c r="E75" s="45">
        <v>3.2</v>
      </c>
      <c r="F75" s="41">
        <f>D75*E75</f>
        <v>3.2</v>
      </c>
      <c r="G75" s="41" t="s">
        <v>53</v>
      </c>
      <c r="H75" s="41">
        <v>0</v>
      </c>
      <c r="I75" s="41">
        <v>0</v>
      </c>
      <c r="J75" s="41">
        <f t="shared" si="12"/>
        <v>0</v>
      </c>
      <c r="K75" s="41">
        <f t="shared" si="14"/>
        <v>0</v>
      </c>
      <c r="L75" s="41">
        <f>J75+K75</f>
        <v>0</v>
      </c>
    </row>
    <row r="76" spans="1:244" x14ac:dyDescent="0.25">
      <c r="A76" s="54" t="s">
        <v>181</v>
      </c>
      <c r="B76" s="44" t="s">
        <v>447</v>
      </c>
      <c r="C76" s="41" t="s">
        <v>53</v>
      </c>
      <c r="D76" s="46">
        <f>1+2</f>
        <v>3</v>
      </c>
      <c r="E76" s="45">
        <v>13.6</v>
      </c>
      <c r="F76" s="41">
        <f t="shared" si="15"/>
        <v>40.799999999999997</v>
      </c>
      <c r="G76" s="41" t="s">
        <v>53</v>
      </c>
      <c r="H76" s="41">
        <v>0</v>
      </c>
      <c r="I76" s="41">
        <v>0</v>
      </c>
      <c r="J76" s="41">
        <f t="shared" si="12"/>
        <v>0</v>
      </c>
      <c r="K76" s="41">
        <f t="shared" si="14"/>
        <v>0</v>
      </c>
      <c r="L76" s="41">
        <f t="shared" si="16"/>
        <v>0</v>
      </c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/>
      <c r="BF76" s="81"/>
      <c r="BG76" s="81"/>
      <c r="BH76" s="81"/>
      <c r="BI76" s="81"/>
      <c r="BJ76" s="81"/>
      <c r="BK76" s="81"/>
      <c r="BL76" s="81"/>
      <c r="BM76" s="81"/>
      <c r="BN76" s="81"/>
      <c r="BO76" s="81"/>
      <c r="BP76" s="81"/>
      <c r="BQ76" s="81"/>
      <c r="BR76" s="81"/>
      <c r="BS76" s="81"/>
      <c r="BT76" s="81"/>
      <c r="BU76" s="81"/>
      <c r="BV76" s="81"/>
      <c r="BW76" s="81"/>
      <c r="BX76" s="81"/>
      <c r="BY76" s="81"/>
      <c r="BZ76" s="81"/>
      <c r="CA76" s="81"/>
      <c r="CB76" s="81"/>
      <c r="CC76" s="81"/>
      <c r="CD76" s="81"/>
      <c r="CE76" s="81"/>
      <c r="CF76" s="81"/>
      <c r="CG76" s="81"/>
      <c r="CH76" s="81"/>
      <c r="CI76" s="81"/>
      <c r="CJ76" s="81"/>
      <c r="CK76" s="81"/>
      <c r="CL76" s="81"/>
      <c r="CM76" s="81"/>
      <c r="CN76" s="81"/>
      <c r="CO76" s="81"/>
      <c r="CP76" s="81"/>
      <c r="CQ76" s="81"/>
      <c r="CR76" s="81"/>
      <c r="CS76" s="81"/>
      <c r="CT76" s="81"/>
      <c r="CU76" s="81"/>
      <c r="CV76" s="81"/>
      <c r="CW76" s="81"/>
      <c r="CX76" s="81"/>
      <c r="CY76" s="81"/>
      <c r="CZ76" s="81"/>
      <c r="DA76" s="81"/>
      <c r="DB76" s="81"/>
      <c r="DC76" s="81"/>
      <c r="DD76" s="81"/>
      <c r="DE76" s="81"/>
      <c r="DF76" s="81"/>
      <c r="DG76" s="81"/>
      <c r="DH76" s="81"/>
      <c r="DI76" s="81"/>
      <c r="DJ76" s="81"/>
      <c r="DK76" s="81"/>
      <c r="DL76" s="81"/>
      <c r="DM76" s="81"/>
      <c r="DN76" s="81"/>
      <c r="DO76" s="81"/>
      <c r="DP76" s="81"/>
      <c r="DQ76" s="81"/>
      <c r="DR76" s="81"/>
      <c r="DS76" s="81"/>
      <c r="DT76" s="81"/>
      <c r="DU76" s="81"/>
      <c r="DV76" s="81"/>
      <c r="DW76" s="81"/>
      <c r="DX76" s="81"/>
      <c r="DY76" s="81"/>
      <c r="DZ76" s="81"/>
      <c r="EA76" s="81"/>
      <c r="EB76" s="81"/>
      <c r="EC76" s="81"/>
      <c r="ED76" s="81"/>
      <c r="EE76" s="81"/>
      <c r="EF76" s="81"/>
      <c r="EG76" s="81"/>
      <c r="EH76" s="81"/>
      <c r="EI76" s="81"/>
      <c r="EJ76" s="81"/>
      <c r="EK76" s="81"/>
      <c r="EL76" s="81"/>
      <c r="EM76" s="81"/>
      <c r="EN76" s="81"/>
      <c r="EO76" s="81"/>
      <c r="EP76" s="81"/>
      <c r="EQ76" s="81"/>
      <c r="ER76" s="81"/>
      <c r="ES76" s="81"/>
      <c r="ET76" s="81"/>
      <c r="EU76" s="81"/>
      <c r="EV76" s="81"/>
      <c r="EW76" s="81"/>
      <c r="EX76" s="81"/>
      <c r="EY76" s="81"/>
      <c r="EZ76" s="81"/>
      <c r="FA76" s="81"/>
      <c r="FB76" s="81"/>
      <c r="FC76" s="81"/>
      <c r="FD76" s="81"/>
      <c r="FE76" s="81"/>
      <c r="FF76" s="81"/>
      <c r="FG76" s="81"/>
      <c r="FH76" s="81"/>
      <c r="FI76" s="81"/>
      <c r="FJ76" s="81"/>
      <c r="FK76" s="81"/>
      <c r="FL76" s="81"/>
      <c r="FM76" s="81"/>
      <c r="FN76" s="81"/>
      <c r="FO76" s="81"/>
      <c r="FP76" s="81"/>
      <c r="FQ76" s="81"/>
      <c r="FR76" s="81"/>
      <c r="FS76" s="81"/>
      <c r="FT76" s="81"/>
      <c r="FU76" s="81"/>
      <c r="FV76" s="81"/>
      <c r="FW76" s="81"/>
      <c r="FX76" s="81"/>
      <c r="FY76" s="81"/>
      <c r="FZ76" s="81"/>
      <c r="GA76" s="81"/>
      <c r="GB76" s="81"/>
      <c r="GC76" s="81"/>
      <c r="GD76" s="81"/>
      <c r="GE76" s="81"/>
      <c r="GF76" s="81"/>
      <c r="GG76" s="81"/>
      <c r="GH76" s="81"/>
      <c r="GI76" s="81"/>
      <c r="GJ76" s="81"/>
      <c r="GK76" s="81"/>
      <c r="GL76" s="81"/>
      <c r="GM76" s="81"/>
      <c r="GN76" s="81"/>
      <c r="GO76" s="81"/>
      <c r="GP76" s="81"/>
      <c r="GQ76" s="81"/>
      <c r="GR76" s="81"/>
      <c r="GS76" s="81"/>
      <c r="GT76" s="81"/>
      <c r="GU76" s="81"/>
      <c r="GV76" s="81"/>
      <c r="GW76" s="81"/>
      <c r="GX76" s="81"/>
      <c r="GY76" s="81"/>
      <c r="GZ76" s="81"/>
      <c r="HA76" s="81"/>
      <c r="HB76" s="81"/>
      <c r="HC76" s="81"/>
      <c r="HD76" s="81"/>
      <c r="HE76" s="81"/>
      <c r="HF76" s="81"/>
      <c r="HG76" s="81"/>
      <c r="HH76" s="81"/>
      <c r="HI76" s="81"/>
      <c r="HJ76" s="81"/>
      <c r="HK76" s="81"/>
      <c r="HL76" s="81"/>
      <c r="HM76" s="81"/>
      <c r="HN76" s="81"/>
      <c r="HO76" s="81"/>
      <c r="HP76" s="81"/>
      <c r="HQ76" s="81"/>
      <c r="HR76" s="81"/>
      <c r="HS76" s="81"/>
      <c r="HT76" s="81"/>
      <c r="HU76" s="81"/>
      <c r="HV76" s="81"/>
      <c r="HW76" s="81"/>
      <c r="HX76" s="81"/>
      <c r="HY76" s="81"/>
      <c r="HZ76" s="81"/>
      <c r="IA76" s="81"/>
      <c r="IB76" s="81"/>
      <c r="IC76" s="81"/>
      <c r="ID76" s="81"/>
      <c r="IE76" s="81"/>
      <c r="IF76" s="81"/>
      <c r="IG76" s="81"/>
      <c r="IH76" s="81"/>
      <c r="II76" s="81"/>
      <c r="IJ76" s="81"/>
    </row>
    <row r="77" spans="1:244" s="81" customFormat="1" x14ac:dyDescent="0.25">
      <c r="A77" s="54" t="s">
        <v>182</v>
      </c>
      <c r="B77" s="44" t="s">
        <v>455</v>
      </c>
      <c r="C77" s="41" t="s">
        <v>53</v>
      </c>
      <c r="D77" s="46">
        <v>2</v>
      </c>
      <c r="E77" s="45">
        <v>1.2</v>
      </c>
      <c r="F77" s="41">
        <f t="shared" si="15"/>
        <v>2.4</v>
      </c>
      <c r="G77" s="41" t="s">
        <v>53</v>
      </c>
      <c r="H77" s="41">
        <v>0</v>
      </c>
      <c r="I77" s="41">
        <v>0</v>
      </c>
      <c r="J77" s="41">
        <f t="shared" si="12"/>
        <v>0</v>
      </c>
      <c r="K77" s="41">
        <f t="shared" si="14"/>
        <v>0</v>
      </c>
      <c r="L77" s="41">
        <f t="shared" si="16"/>
        <v>0</v>
      </c>
    </row>
    <row r="78" spans="1:244" s="81" customFormat="1" x14ac:dyDescent="0.25">
      <c r="A78" s="54"/>
      <c r="B78" s="92" t="s">
        <v>133</v>
      </c>
      <c r="C78" s="41" t="s">
        <v>14</v>
      </c>
      <c r="D78" s="46">
        <f>D77</f>
        <v>2</v>
      </c>
      <c r="E78" s="45">
        <v>0.55000000000000004</v>
      </c>
      <c r="F78" s="41">
        <f t="shared" si="15"/>
        <v>1.1000000000000001</v>
      </c>
      <c r="G78" s="41" t="s">
        <v>14</v>
      </c>
      <c r="H78" s="41">
        <v>0</v>
      </c>
      <c r="I78" s="41">
        <v>0</v>
      </c>
      <c r="J78" s="41">
        <f t="shared" ref="J78:J83" si="17">$D78*H78</f>
        <v>0</v>
      </c>
      <c r="K78" s="41"/>
      <c r="L78" s="41">
        <f t="shared" si="16"/>
        <v>0</v>
      </c>
    </row>
    <row r="79" spans="1:244" s="81" customFormat="1" x14ac:dyDescent="0.25">
      <c r="A79" s="54" t="s">
        <v>183</v>
      </c>
      <c r="B79" s="44" t="s">
        <v>456</v>
      </c>
      <c r="C79" s="41" t="s">
        <v>53</v>
      </c>
      <c r="D79" s="41">
        <v>1</v>
      </c>
      <c r="E79" s="45">
        <v>1.8</v>
      </c>
      <c r="F79" s="41">
        <f t="shared" si="15"/>
        <v>1.8</v>
      </c>
      <c r="G79" s="41" t="s">
        <v>53</v>
      </c>
      <c r="H79" s="41">
        <v>0</v>
      </c>
      <c r="I79" s="41">
        <v>0</v>
      </c>
      <c r="J79" s="41">
        <f t="shared" si="17"/>
        <v>0</v>
      </c>
      <c r="K79" s="41">
        <f>$D79*I79</f>
        <v>0</v>
      </c>
      <c r="L79" s="41">
        <f t="shared" si="16"/>
        <v>0</v>
      </c>
    </row>
    <row r="80" spans="1:244" s="81" customFormat="1" ht="16" x14ac:dyDescent="0.25">
      <c r="A80" s="54"/>
      <c r="B80" s="92" t="s">
        <v>179</v>
      </c>
      <c r="C80" s="41" t="s">
        <v>14</v>
      </c>
      <c r="D80" s="41">
        <f>D79</f>
        <v>1</v>
      </c>
      <c r="E80" s="45">
        <v>0.55000000000000004</v>
      </c>
      <c r="F80" s="41">
        <f t="shared" si="15"/>
        <v>0.55000000000000004</v>
      </c>
      <c r="G80" s="41" t="s">
        <v>14</v>
      </c>
      <c r="H80" s="41">
        <v>0</v>
      </c>
      <c r="I80" s="41">
        <v>0</v>
      </c>
      <c r="J80" s="41">
        <f t="shared" si="17"/>
        <v>0</v>
      </c>
      <c r="K80" s="41">
        <f>$D80*I80</f>
        <v>0</v>
      </c>
      <c r="L80" s="41">
        <f t="shared" si="16"/>
        <v>0</v>
      </c>
    </row>
    <row r="81" spans="1:244" s="81" customFormat="1" x14ac:dyDescent="0.25">
      <c r="A81" s="54"/>
      <c r="B81" s="56" t="s">
        <v>180</v>
      </c>
      <c r="C81" s="41" t="s">
        <v>53</v>
      </c>
      <c r="D81" s="41">
        <f>D79</f>
        <v>1</v>
      </c>
      <c r="E81" s="45">
        <v>0.6</v>
      </c>
      <c r="F81" s="41">
        <f t="shared" si="15"/>
        <v>0.6</v>
      </c>
      <c r="G81" s="41" t="s">
        <v>53</v>
      </c>
      <c r="H81" s="41">
        <v>0</v>
      </c>
      <c r="I81" s="41">
        <v>0</v>
      </c>
      <c r="J81" s="41">
        <v>0</v>
      </c>
      <c r="K81" s="41">
        <f>$D81*I81</f>
        <v>0</v>
      </c>
      <c r="L81" s="41">
        <f t="shared" si="16"/>
        <v>0</v>
      </c>
    </row>
    <row r="82" spans="1:244" s="43" customFormat="1" x14ac:dyDescent="0.25">
      <c r="A82" s="54" t="s">
        <v>358</v>
      </c>
      <c r="B82" s="44" t="s">
        <v>457</v>
      </c>
      <c r="C82" s="41" t="s">
        <v>53</v>
      </c>
      <c r="D82" s="41">
        <v>1</v>
      </c>
      <c r="E82" s="45">
        <v>2.6</v>
      </c>
      <c r="F82" s="41">
        <f t="shared" si="15"/>
        <v>2.6</v>
      </c>
      <c r="G82" s="41" t="s">
        <v>53</v>
      </c>
      <c r="H82" s="41">
        <v>0</v>
      </c>
      <c r="I82" s="41">
        <v>0</v>
      </c>
      <c r="J82" s="41">
        <f t="shared" si="17"/>
        <v>0</v>
      </c>
      <c r="K82" s="41">
        <f>$D82*I82</f>
        <v>0</v>
      </c>
      <c r="L82" s="41">
        <f t="shared" si="16"/>
        <v>0</v>
      </c>
    </row>
    <row r="83" spans="1:244" s="43" customFormat="1" x14ac:dyDescent="0.25">
      <c r="A83" s="54"/>
      <c r="B83" s="56" t="s">
        <v>357</v>
      </c>
      <c r="C83" s="41" t="s">
        <v>14</v>
      </c>
      <c r="D83" s="46">
        <f>D82</f>
        <v>1</v>
      </c>
      <c r="E83" s="45">
        <v>0.9</v>
      </c>
      <c r="F83" s="41">
        <f t="shared" si="15"/>
        <v>0.9</v>
      </c>
      <c r="G83" s="41" t="s">
        <v>14</v>
      </c>
      <c r="H83" s="41">
        <v>0</v>
      </c>
      <c r="I83" s="41">
        <v>0</v>
      </c>
      <c r="J83" s="41">
        <f t="shared" si="17"/>
        <v>0</v>
      </c>
      <c r="K83" s="41">
        <f>$D83*I83</f>
        <v>0</v>
      </c>
      <c r="L83" s="41">
        <f t="shared" si="16"/>
        <v>0</v>
      </c>
    </row>
    <row r="84" spans="1:244" s="81" customFormat="1" x14ac:dyDescent="0.25">
      <c r="A84" s="18"/>
      <c r="B84" s="44"/>
      <c r="C84" s="42"/>
      <c r="D84" s="47"/>
      <c r="E84" s="47"/>
      <c r="F84" s="42"/>
      <c r="G84" s="42"/>
      <c r="H84" s="41"/>
      <c r="I84" s="41"/>
      <c r="J84" s="42"/>
      <c r="K84" s="42"/>
      <c r="L84" s="41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</row>
    <row r="85" spans="1:244" s="81" customFormat="1" ht="13" x14ac:dyDescent="0.25">
      <c r="A85" s="48"/>
      <c r="B85" s="49" t="s">
        <v>57</v>
      </c>
      <c r="C85" s="41"/>
      <c r="D85" s="1"/>
      <c r="E85" s="50"/>
      <c r="F85" s="50">
        <f>SUM(F57:F84)</f>
        <v>84</v>
      </c>
      <c r="G85" s="50"/>
      <c r="H85" s="50"/>
      <c r="I85" s="50"/>
      <c r="J85" s="50">
        <f>CEILING(SUM(J57:J84),100)</f>
        <v>0</v>
      </c>
      <c r="K85" s="50">
        <f>CEILING(SUM(K57:K84),100)</f>
        <v>0</v>
      </c>
      <c r="L85" s="50">
        <f>J85+K85</f>
        <v>0</v>
      </c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</row>
    <row r="86" spans="1:244" s="81" customFormat="1" ht="13" x14ac:dyDescent="0.25">
      <c r="A86" s="48"/>
      <c r="B86" s="49"/>
      <c r="C86" s="50"/>
      <c r="D86" s="51"/>
      <c r="E86" s="50"/>
      <c r="F86" s="50"/>
      <c r="G86" s="50"/>
      <c r="H86" s="50"/>
      <c r="I86" s="50"/>
      <c r="J86" s="50"/>
      <c r="K86" s="50"/>
      <c r="L86" s="5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</row>
    <row r="87" spans="1:244" s="81" customFormat="1" ht="13" x14ac:dyDescent="0.25">
      <c r="A87" s="95" t="s">
        <v>55</v>
      </c>
      <c r="B87" s="13" t="s">
        <v>60</v>
      </c>
      <c r="C87" s="12"/>
      <c r="D87" s="12"/>
      <c r="E87" s="12"/>
      <c r="F87" s="12"/>
      <c r="G87" s="12"/>
      <c r="H87" s="11"/>
      <c r="I87" s="11"/>
      <c r="J87" s="11"/>
      <c r="K87" s="11"/>
      <c r="L87" s="11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</row>
    <row r="88" spans="1:244" s="81" customFormat="1" ht="13" x14ac:dyDescent="0.25">
      <c r="A88" s="18"/>
      <c r="B88" s="57" t="s">
        <v>61</v>
      </c>
      <c r="C88" s="53" t="s">
        <v>53</v>
      </c>
      <c r="D88" s="53">
        <v>1</v>
      </c>
      <c r="E88" s="12"/>
      <c r="F88" s="12"/>
      <c r="G88" s="12"/>
      <c r="H88" s="11"/>
      <c r="I88" s="11"/>
      <c r="J88" s="11"/>
      <c r="K88" s="11"/>
      <c r="L88" s="11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</row>
    <row r="89" spans="1:244" s="81" customFormat="1" ht="50" x14ac:dyDescent="0.25">
      <c r="A89" s="54" t="s">
        <v>95</v>
      </c>
      <c r="B89" s="40" t="s">
        <v>458</v>
      </c>
      <c r="C89" s="41" t="s">
        <v>53</v>
      </c>
      <c r="D89" s="45">
        <f>2</f>
        <v>2</v>
      </c>
      <c r="E89" s="45">
        <v>0.65</v>
      </c>
      <c r="F89" s="41">
        <f t="shared" ref="F89:F94" si="18">D89*E89</f>
        <v>1.3</v>
      </c>
      <c r="G89" s="41" t="s">
        <v>53</v>
      </c>
      <c r="H89" s="55">
        <v>0</v>
      </c>
      <c r="I89" s="55">
        <v>0</v>
      </c>
      <c r="J89" s="41">
        <f t="shared" ref="J89:K112" si="19">$D89*H89</f>
        <v>0</v>
      </c>
      <c r="K89" s="41">
        <f t="shared" si="19"/>
        <v>0</v>
      </c>
      <c r="L89" s="41">
        <f t="shared" ref="L89:L110" si="20">J89+K89</f>
        <v>0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  <c r="FP89" s="43"/>
      <c r="FQ89" s="43"/>
      <c r="FR89" s="43"/>
      <c r="FS89" s="43"/>
      <c r="FT89" s="43"/>
      <c r="FU89" s="43"/>
      <c r="FV89" s="43"/>
      <c r="FW89" s="43"/>
      <c r="FX89" s="43"/>
      <c r="FY89" s="43"/>
      <c r="FZ89" s="43"/>
      <c r="GA89" s="43"/>
      <c r="GB89" s="43"/>
      <c r="GC89" s="43"/>
      <c r="GD89" s="43"/>
      <c r="GE89" s="43"/>
      <c r="GF89" s="43"/>
      <c r="GG89" s="43"/>
      <c r="GH89" s="43"/>
      <c r="GI89" s="43"/>
      <c r="GJ89" s="43"/>
      <c r="GK89" s="43"/>
      <c r="GL89" s="43"/>
      <c r="GM89" s="43"/>
      <c r="GN89" s="43"/>
      <c r="GO89" s="43"/>
      <c r="GP89" s="43"/>
      <c r="GQ89" s="43"/>
      <c r="GR89" s="43"/>
      <c r="GS89" s="43"/>
      <c r="GT89" s="43"/>
      <c r="GU89" s="43"/>
      <c r="GV89" s="43"/>
      <c r="GW89" s="43"/>
      <c r="GX89" s="43"/>
      <c r="GY89" s="43"/>
      <c r="GZ89" s="43"/>
      <c r="HA89" s="43"/>
      <c r="HB89" s="43"/>
      <c r="HC89" s="43"/>
      <c r="HD89" s="43"/>
      <c r="HE89" s="43"/>
      <c r="HF89" s="43"/>
      <c r="HG89" s="43"/>
      <c r="HH89" s="43"/>
      <c r="HI89" s="43"/>
      <c r="HJ89" s="43"/>
      <c r="HK89" s="43"/>
      <c r="HL89" s="43"/>
      <c r="HM89" s="43"/>
      <c r="HN89" s="43"/>
      <c r="HO89" s="43"/>
      <c r="HP89" s="43"/>
      <c r="HQ89" s="43"/>
      <c r="HR89" s="43"/>
      <c r="HS89" s="43"/>
      <c r="HT89" s="43"/>
      <c r="HU89" s="43"/>
      <c r="HV89" s="43"/>
      <c r="HW89" s="43"/>
      <c r="HX89" s="43"/>
      <c r="HY89" s="43"/>
      <c r="HZ89" s="43"/>
      <c r="IA89" s="43"/>
      <c r="IB89" s="43"/>
      <c r="IC89" s="43"/>
      <c r="ID89" s="43"/>
      <c r="IE89" s="43"/>
      <c r="IF89" s="43"/>
      <c r="IG89" s="43"/>
      <c r="IH89" s="43"/>
      <c r="II89" s="43"/>
      <c r="IJ89" s="43"/>
    </row>
    <row r="90" spans="1:244" s="81" customFormat="1" ht="75" x14ac:dyDescent="0.25">
      <c r="A90" s="54" t="s">
        <v>96</v>
      </c>
      <c r="B90" s="44" t="s">
        <v>459</v>
      </c>
      <c r="C90" s="41" t="s">
        <v>53</v>
      </c>
      <c r="D90" s="45">
        <f>D$88</f>
        <v>1</v>
      </c>
      <c r="E90" s="45">
        <v>1.2</v>
      </c>
      <c r="F90" s="41">
        <f t="shared" si="18"/>
        <v>1.2</v>
      </c>
      <c r="G90" s="41" t="s">
        <v>53</v>
      </c>
      <c r="H90" s="55">
        <v>0</v>
      </c>
      <c r="I90" s="55">
        <v>0</v>
      </c>
      <c r="J90" s="41">
        <f t="shared" si="19"/>
        <v>0</v>
      </c>
      <c r="K90" s="41">
        <f t="shared" si="19"/>
        <v>0</v>
      </c>
      <c r="L90" s="41">
        <f t="shared" si="20"/>
        <v>0</v>
      </c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  <c r="FP90" s="43"/>
      <c r="FQ90" s="43"/>
      <c r="FR90" s="43"/>
      <c r="FS90" s="43"/>
      <c r="FT90" s="43"/>
      <c r="FU90" s="43"/>
      <c r="FV90" s="43"/>
      <c r="FW90" s="43"/>
      <c r="FX90" s="43"/>
      <c r="FY90" s="43"/>
      <c r="FZ90" s="43"/>
      <c r="GA90" s="43"/>
      <c r="GB90" s="43"/>
      <c r="GC90" s="43"/>
      <c r="GD90" s="43"/>
      <c r="GE90" s="43"/>
      <c r="GF90" s="43"/>
      <c r="GG90" s="43"/>
      <c r="GH90" s="43"/>
      <c r="GI90" s="43"/>
      <c r="GJ90" s="43"/>
      <c r="GK90" s="43"/>
      <c r="GL90" s="43"/>
      <c r="GM90" s="43"/>
      <c r="GN90" s="43"/>
      <c r="GO90" s="43"/>
      <c r="GP90" s="43"/>
      <c r="GQ90" s="43"/>
      <c r="GR90" s="43"/>
      <c r="GS90" s="43"/>
      <c r="GT90" s="43"/>
      <c r="GU90" s="43"/>
      <c r="GV90" s="43"/>
      <c r="GW90" s="43"/>
      <c r="GX90" s="43"/>
      <c r="GY90" s="43"/>
      <c r="GZ90" s="43"/>
      <c r="HA90" s="43"/>
      <c r="HB90" s="43"/>
      <c r="HC90" s="43"/>
      <c r="HD90" s="43"/>
      <c r="HE90" s="43"/>
      <c r="HF90" s="43"/>
      <c r="HG90" s="43"/>
      <c r="HH90" s="43"/>
      <c r="HI90" s="43"/>
      <c r="HJ90" s="43"/>
      <c r="HK90" s="43"/>
      <c r="HL90" s="43"/>
      <c r="HM90" s="43"/>
      <c r="HN90" s="43"/>
      <c r="HO90" s="43"/>
      <c r="HP90" s="43"/>
      <c r="HQ90" s="43"/>
      <c r="HR90" s="43"/>
      <c r="HS90" s="43"/>
      <c r="HT90" s="43"/>
      <c r="HU90" s="43"/>
      <c r="HV90" s="43"/>
      <c r="HW90" s="43"/>
      <c r="HX90" s="43"/>
      <c r="HY90" s="43"/>
      <c r="HZ90" s="43"/>
      <c r="IA90" s="43"/>
      <c r="IB90" s="43"/>
      <c r="IC90" s="43"/>
      <c r="ID90" s="43"/>
      <c r="IE90" s="43"/>
      <c r="IF90" s="43"/>
      <c r="IG90" s="43"/>
      <c r="IH90" s="43"/>
      <c r="II90" s="43"/>
      <c r="IJ90" s="43"/>
    </row>
    <row r="91" spans="1:244" s="81" customFormat="1" x14ac:dyDescent="0.25">
      <c r="A91" s="54" t="s">
        <v>185</v>
      </c>
      <c r="B91" s="40" t="s">
        <v>62</v>
      </c>
      <c r="C91" s="41" t="s">
        <v>53</v>
      </c>
      <c r="D91" s="45">
        <f>(D89+D90)</f>
        <v>3</v>
      </c>
      <c r="E91" s="45">
        <v>0.7</v>
      </c>
      <c r="F91" s="41">
        <f>D91*E91</f>
        <v>2.0999999999999996</v>
      </c>
      <c r="G91" s="41" t="s">
        <v>53</v>
      </c>
      <c r="H91" s="55">
        <v>0</v>
      </c>
      <c r="I91" s="55">
        <v>0</v>
      </c>
      <c r="J91" s="41">
        <f>$D91*H91</f>
        <v>0</v>
      </c>
      <c r="K91" s="41">
        <f>$D91*I91</f>
        <v>0</v>
      </c>
      <c r="L91" s="41">
        <f>J91+K91</f>
        <v>0</v>
      </c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  <c r="FP91" s="43"/>
      <c r="FQ91" s="43"/>
      <c r="FR91" s="43"/>
      <c r="FS91" s="43"/>
      <c r="FT91" s="43"/>
      <c r="FU91" s="43"/>
      <c r="FV91" s="43"/>
      <c r="FW91" s="43"/>
      <c r="FX91" s="43"/>
      <c r="FY91" s="43"/>
      <c r="FZ91" s="43"/>
      <c r="GA91" s="43"/>
      <c r="GB91" s="43"/>
      <c r="GC91" s="43"/>
      <c r="GD91" s="43"/>
      <c r="GE91" s="43"/>
      <c r="GF91" s="43"/>
      <c r="GG91" s="43"/>
      <c r="GH91" s="43"/>
      <c r="GI91" s="43"/>
      <c r="GJ91" s="43"/>
      <c r="GK91" s="43"/>
      <c r="GL91" s="43"/>
      <c r="GM91" s="43"/>
      <c r="GN91" s="43"/>
      <c r="GO91" s="43"/>
      <c r="GP91" s="43"/>
      <c r="GQ91" s="43"/>
      <c r="GR91" s="43"/>
      <c r="GS91" s="43"/>
      <c r="GT91" s="43"/>
      <c r="GU91" s="43"/>
      <c r="GV91" s="43"/>
      <c r="GW91" s="43"/>
      <c r="GX91" s="43"/>
      <c r="GY91" s="43"/>
      <c r="GZ91" s="43"/>
      <c r="HA91" s="43"/>
      <c r="HB91" s="43"/>
      <c r="HC91" s="43"/>
      <c r="HD91" s="43"/>
      <c r="HE91" s="43"/>
      <c r="HF91" s="43"/>
      <c r="HG91" s="43"/>
      <c r="HH91" s="43"/>
      <c r="HI91" s="43"/>
      <c r="HJ91" s="43"/>
      <c r="HK91" s="43"/>
      <c r="HL91" s="43"/>
      <c r="HM91" s="43"/>
      <c r="HN91" s="43"/>
      <c r="HO91" s="43"/>
      <c r="HP91" s="43"/>
      <c r="HQ91" s="43"/>
      <c r="HR91" s="43"/>
      <c r="HS91" s="43"/>
      <c r="HT91" s="43"/>
      <c r="HU91" s="43"/>
      <c r="HV91" s="43"/>
      <c r="HW91" s="43"/>
      <c r="HX91" s="43"/>
      <c r="HY91" s="43"/>
      <c r="HZ91" s="43"/>
      <c r="IA91" s="43"/>
      <c r="IB91" s="43"/>
      <c r="IC91" s="43"/>
      <c r="ID91" s="43"/>
      <c r="IE91" s="43"/>
      <c r="IF91" s="43"/>
      <c r="IG91" s="43"/>
      <c r="IH91" s="43"/>
      <c r="II91" s="43"/>
      <c r="IJ91" s="43"/>
    </row>
    <row r="92" spans="1:244" s="81" customFormat="1" x14ac:dyDescent="0.25">
      <c r="A92" s="54"/>
      <c r="B92" s="40" t="s">
        <v>63</v>
      </c>
      <c r="C92" s="41" t="s">
        <v>53</v>
      </c>
      <c r="D92" s="45">
        <f>D89</f>
        <v>2</v>
      </c>
      <c r="E92" s="45">
        <f>0.16</f>
        <v>0.16</v>
      </c>
      <c r="F92" s="45">
        <f t="shared" si="18"/>
        <v>0.32</v>
      </c>
      <c r="G92" s="41" t="s">
        <v>53</v>
      </c>
      <c r="H92" s="55">
        <v>0</v>
      </c>
      <c r="I92" s="55">
        <v>0</v>
      </c>
      <c r="J92" s="41">
        <f t="shared" si="19"/>
        <v>0</v>
      </c>
      <c r="K92" s="41">
        <f t="shared" si="19"/>
        <v>0</v>
      </c>
      <c r="L92" s="41">
        <f t="shared" si="20"/>
        <v>0</v>
      </c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  <c r="FP92" s="43"/>
      <c r="FQ92" s="43"/>
      <c r="FR92" s="43"/>
      <c r="FS92" s="43"/>
      <c r="FT92" s="43"/>
      <c r="FU92" s="43"/>
      <c r="FV92" s="43"/>
      <c r="FW92" s="43"/>
      <c r="FX92" s="43"/>
      <c r="FY92" s="43"/>
      <c r="FZ92" s="43"/>
      <c r="GA92" s="43"/>
      <c r="GB92" s="43"/>
      <c r="GC92" s="43"/>
      <c r="GD92" s="43"/>
      <c r="GE92" s="43"/>
      <c r="GF92" s="43"/>
      <c r="GG92" s="43"/>
      <c r="GH92" s="43"/>
      <c r="GI92" s="43"/>
      <c r="GJ92" s="43"/>
      <c r="GK92" s="43"/>
      <c r="GL92" s="43"/>
      <c r="GM92" s="43"/>
      <c r="GN92" s="43"/>
      <c r="GO92" s="43"/>
      <c r="GP92" s="43"/>
      <c r="GQ92" s="43"/>
      <c r="GR92" s="43"/>
      <c r="GS92" s="43"/>
      <c r="GT92" s="43"/>
      <c r="GU92" s="43"/>
      <c r="GV92" s="43"/>
      <c r="GW92" s="43"/>
      <c r="GX92" s="43"/>
      <c r="GY92" s="43"/>
      <c r="GZ92" s="43"/>
      <c r="HA92" s="43"/>
      <c r="HB92" s="43"/>
      <c r="HC92" s="43"/>
      <c r="HD92" s="43"/>
      <c r="HE92" s="43"/>
      <c r="HF92" s="43"/>
      <c r="HG92" s="43"/>
      <c r="HH92" s="43"/>
      <c r="HI92" s="43"/>
      <c r="HJ92" s="43"/>
      <c r="HK92" s="43"/>
      <c r="HL92" s="43"/>
      <c r="HM92" s="43"/>
      <c r="HN92" s="43"/>
      <c r="HO92" s="43"/>
      <c r="HP92" s="43"/>
      <c r="HQ92" s="43"/>
      <c r="HR92" s="43"/>
      <c r="HS92" s="43"/>
      <c r="HT92" s="43"/>
      <c r="HU92" s="43"/>
      <c r="HV92" s="43"/>
      <c r="HW92" s="43"/>
      <c r="HX92" s="43"/>
      <c r="HY92" s="43"/>
      <c r="HZ92" s="43"/>
      <c r="IA92" s="43"/>
      <c r="IB92" s="43"/>
      <c r="IC92" s="43"/>
      <c r="ID92" s="43"/>
      <c r="IE92" s="43"/>
      <c r="IF92" s="43"/>
      <c r="IG92" s="43"/>
      <c r="IH92" s="43"/>
      <c r="II92" s="43"/>
      <c r="IJ92" s="43"/>
    </row>
    <row r="93" spans="1:244" s="81" customFormat="1" x14ac:dyDescent="0.25">
      <c r="A93" s="54"/>
      <c r="B93" s="40" t="s">
        <v>64</v>
      </c>
      <c r="C93" s="41" t="s">
        <v>53</v>
      </c>
      <c r="D93" s="45">
        <f>D91*2</f>
        <v>6</v>
      </c>
      <c r="E93" s="45">
        <f>0.09</f>
        <v>0.09</v>
      </c>
      <c r="F93" s="41">
        <f t="shared" si="18"/>
        <v>0.54</v>
      </c>
      <c r="G93" s="41" t="s">
        <v>53</v>
      </c>
      <c r="H93" s="55">
        <v>0</v>
      </c>
      <c r="I93" s="55">
        <v>0</v>
      </c>
      <c r="J93" s="41">
        <f t="shared" si="19"/>
        <v>0</v>
      </c>
      <c r="K93" s="41">
        <f t="shared" si="19"/>
        <v>0</v>
      </c>
      <c r="L93" s="41">
        <f t="shared" si="20"/>
        <v>0</v>
      </c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  <c r="FP93" s="43"/>
      <c r="FQ93" s="43"/>
      <c r="FR93" s="43"/>
      <c r="FS93" s="43"/>
      <c r="FT93" s="43"/>
      <c r="FU93" s="43"/>
      <c r="FV93" s="43"/>
      <c r="FW93" s="43"/>
      <c r="FX93" s="43"/>
      <c r="FY93" s="43"/>
      <c r="FZ93" s="43"/>
      <c r="GA93" s="43"/>
      <c r="GB93" s="43"/>
      <c r="GC93" s="43"/>
      <c r="GD93" s="43"/>
      <c r="GE93" s="43"/>
      <c r="GF93" s="43"/>
      <c r="GG93" s="43"/>
      <c r="GH93" s="43"/>
      <c r="GI93" s="43"/>
      <c r="GJ93" s="43"/>
      <c r="GK93" s="43"/>
      <c r="GL93" s="43"/>
      <c r="GM93" s="43"/>
      <c r="GN93" s="43"/>
      <c r="GO93" s="43"/>
      <c r="GP93" s="43"/>
      <c r="GQ93" s="43"/>
      <c r="GR93" s="43"/>
      <c r="GS93" s="43"/>
      <c r="GT93" s="43"/>
      <c r="GU93" s="43"/>
      <c r="GV93" s="43"/>
      <c r="GW93" s="43"/>
      <c r="GX93" s="43"/>
      <c r="GY93" s="43"/>
      <c r="GZ93" s="43"/>
      <c r="HA93" s="43"/>
      <c r="HB93" s="43"/>
      <c r="HC93" s="43"/>
      <c r="HD93" s="43"/>
      <c r="HE93" s="43"/>
      <c r="HF93" s="43"/>
      <c r="HG93" s="43"/>
      <c r="HH93" s="43"/>
      <c r="HI93" s="43"/>
      <c r="HJ93" s="43"/>
      <c r="HK93" s="43"/>
      <c r="HL93" s="43"/>
      <c r="HM93" s="43"/>
      <c r="HN93" s="43"/>
      <c r="HO93" s="43"/>
      <c r="HP93" s="43"/>
      <c r="HQ93" s="43"/>
      <c r="HR93" s="43"/>
      <c r="HS93" s="43"/>
      <c r="HT93" s="43"/>
      <c r="HU93" s="43"/>
      <c r="HV93" s="43"/>
      <c r="HW93" s="43"/>
      <c r="HX93" s="43"/>
      <c r="HY93" s="43"/>
      <c r="HZ93" s="43"/>
      <c r="IA93" s="43"/>
      <c r="IB93" s="43"/>
      <c r="IC93" s="43"/>
      <c r="ID93" s="43"/>
      <c r="IE93" s="43"/>
      <c r="IF93" s="43"/>
      <c r="IG93" s="43"/>
      <c r="IH93" s="43"/>
      <c r="II93" s="43"/>
      <c r="IJ93" s="43"/>
    </row>
    <row r="94" spans="1:244" s="81" customFormat="1" x14ac:dyDescent="0.25">
      <c r="A94" s="54"/>
      <c r="B94" s="40" t="s">
        <v>65</v>
      </c>
      <c r="C94" s="41" t="s">
        <v>53</v>
      </c>
      <c r="D94" s="45">
        <f>CEILING(D93*1.25,1)</f>
        <v>8</v>
      </c>
      <c r="E94" s="45">
        <v>3.0400000000000002E-3</v>
      </c>
      <c r="F94" s="41">
        <f t="shared" si="18"/>
        <v>2.4320000000000001E-2</v>
      </c>
      <c r="G94" s="41" t="s">
        <v>53</v>
      </c>
      <c r="H94" s="55">
        <v>0</v>
      </c>
      <c r="I94" s="55">
        <v>0</v>
      </c>
      <c r="J94" s="41">
        <f t="shared" si="19"/>
        <v>0</v>
      </c>
      <c r="K94" s="41">
        <f t="shared" si="19"/>
        <v>0</v>
      </c>
      <c r="L94" s="41">
        <f t="shared" si="20"/>
        <v>0</v>
      </c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  <c r="FP94" s="43"/>
      <c r="FQ94" s="43"/>
      <c r="FR94" s="43"/>
      <c r="FS94" s="43"/>
      <c r="FT94" s="43"/>
      <c r="FU94" s="43"/>
      <c r="FV94" s="43"/>
      <c r="FW94" s="43"/>
      <c r="FX94" s="43"/>
      <c r="FY94" s="43"/>
      <c r="FZ94" s="43"/>
      <c r="GA94" s="43"/>
      <c r="GB94" s="43"/>
      <c r="GC94" s="43"/>
      <c r="GD94" s="43"/>
      <c r="GE94" s="43"/>
      <c r="GF94" s="43"/>
      <c r="GG94" s="43"/>
      <c r="GH94" s="43"/>
      <c r="GI94" s="43"/>
      <c r="GJ94" s="43"/>
      <c r="GK94" s="43"/>
      <c r="GL94" s="43"/>
      <c r="GM94" s="43"/>
      <c r="GN94" s="43"/>
      <c r="GO94" s="43"/>
      <c r="GP94" s="43"/>
      <c r="GQ94" s="43"/>
      <c r="GR94" s="43"/>
      <c r="GS94" s="43"/>
      <c r="GT94" s="43"/>
      <c r="GU94" s="43"/>
      <c r="GV94" s="43"/>
      <c r="GW94" s="43"/>
      <c r="GX94" s="43"/>
      <c r="GY94" s="43"/>
      <c r="GZ94" s="43"/>
      <c r="HA94" s="43"/>
      <c r="HB94" s="43"/>
      <c r="HC94" s="43"/>
      <c r="HD94" s="43"/>
      <c r="HE94" s="43"/>
      <c r="HF94" s="43"/>
      <c r="HG94" s="43"/>
      <c r="HH94" s="43"/>
      <c r="HI94" s="43"/>
      <c r="HJ94" s="43"/>
      <c r="HK94" s="43"/>
      <c r="HL94" s="43"/>
      <c r="HM94" s="43"/>
      <c r="HN94" s="43"/>
      <c r="HO94" s="43"/>
      <c r="HP94" s="43"/>
      <c r="HQ94" s="43"/>
      <c r="HR94" s="43"/>
      <c r="HS94" s="43"/>
      <c r="HT94" s="43"/>
      <c r="HU94" s="43"/>
      <c r="HV94" s="43"/>
      <c r="HW94" s="43"/>
      <c r="HX94" s="43"/>
      <c r="HY94" s="43"/>
      <c r="HZ94" s="43"/>
      <c r="IA94" s="43"/>
      <c r="IB94" s="43"/>
      <c r="IC94" s="43"/>
      <c r="ID94" s="43"/>
      <c r="IE94" s="43"/>
      <c r="IF94" s="43"/>
      <c r="IG94" s="43"/>
      <c r="IH94" s="43"/>
      <c r="II94" s="43"/>
      <c r="IJ94" s="43"/>
    </row>
    <row r="95" spans="1:244" s="43" customFormat="1" ht="50" x14ac:dyDescent="0.25">
      <c r="A95" s="87" t="s">
        <v>97</v>
      </c>
      <c r="B95" s="40" t="s">
        <v>460</v>
      </c>
      <c r="C95" s="41" t="s">
        <v>53</v>
      </c>
      <c r="D95" s="41">
        <f>5</f>
        <v>5</v>
      </c>
      <c r="E95" s="45">
        <v>0.65</v>
      </c>
      <c r="F95" s="41">
        <f t="shared" ref="F95:F104" si="21">D95*E95</f>
        <v>3.25</v>
      </c>
      <c r="G95" s="41" t="s">
        <v>53</v>
      </c>
      <c r="H95" s="41">
        <v>0</v>
      </c>
      <c r="I95" s="41">
        <v>0</v>
      </c>
      <c r="J95" s="41">
        <f t="shared" si="19"/>
        <v>0</v>
      </c>
      <c r="K95" s="41">
        <f t="shared" si="19"/>
        <v>0</v>
      </c>
      <c r="L95" s="41">
        <f t="shared" ref="L95:L104" si="22">J95+K95</f>
        <v>0</v>
      </c>
    </row>
    <row r="96" spans="1:244" s="43" customFormat="1" ht="25" x14ac:dyDescent="0.25">
      <c r="A96" s="87" t="s">
        <v>186</v>
      </c>
      <c r="B96" s="40" t="s">
        <v>348</v>
      </c>
      <c r="C96" s="41" t="s">
        <v>53</v>
      </c>
      <c r="D96" s="41">
        <f>D95</f>
        <v>5</v>
      </c>
      <c r="E96" s="45">
        <v>0.45</v>
      </c>
      <c r="F96" s="45">
        <f t="shared" si="21"/>
        <v>2.25</v>
      </c>
      <c r="G96" s="41" t="s">
        <v>53</v>
      </c>
      <c r="H96" s="41">
        <v>0</v>
      </c>
      <c r="I96" s="41">
        <v>0</v>
      </c>
      <c r="J96" s="41">
        <f t="shared" si="19"/>
        <v>0</v>
      </c>
      <c r="K96" s="41">
        <f t="shared" si="19"/>
        <v>0</v>
      </c>
      <c r="L96" s="41">
        <f t="shared" si="22"/>
        <v>0</v>
      </c>
    </row>
    <row r="97" spans="1:12" s="43" customFormat="1" x14ac:dyDescent="0.25">
      <c r="A97" s="54"/>
      <c r="B97" s="40" t="s">
        <v>64</v>
      </c>
      <c r="C97" s="41" t="s">
        <v>53</v>
      </c>
      <c r="D97" s="45">
        <f>D96*2</f>
        <v>10</v>
      </c>
      <c r="E97" s="45">
        <f>0.09</f>
        <v>0.09</v>
      </c>
      <c r="F97" s="45">
        <f t="shared" si="21"/>
        <v>0.89999999999999991</v>
      </c>
      <c r="G97" s="41" t="s">
        <v>53</v>
      </c>
      <c r="H97" s="55">
        <v>0</v>
      </c>
      <c r="I97" s="55">
        <v>0</v>
      </c>
      <c r="J97" s="41">
        <f t="shared" si="19"/>
        <v>0</v>
      </c>
      <c r="K97" s="41">
        <f t="shared" si="19"/>
        <v>0</v>
      </c>
      <c r="L97" s="41">
        <f t="shared" si="22"/>
        <v>0</v>
      </c>
    </row>
    <row r="98" spans="1:12" s="43" customFormat="1" x14ac:dyDescent="0.25">
      <c r="A98" s="54"/>
      <c r="B98" s="40" t="s">
        <v>184</v>
      </c>
      <c r="C98" s="41" t="s">
        <v>53</v>
      </c>
      <c r="D98" s="41">
        <f>D96</f>
        <v>5</v>
      </c>
      <c r="E98" s="45">
        <f>0.55</f>
        <v>0.55000000000000004</v>
      </c>
      <c r="F98" s="41">
        <f t="shared" si="21"/>
        <v>2.75</v>
      </c>
      <c r="G98" s="41" t="s">
        <v>53</v>
      </c>
      <c r="H98" s="41">
        <v>0</v>
      </c>
      <c r="I98" s="41">
        <v>0</v>
      </c>
      <c r="J98" s="41">
        <f t="shared" si="19"/>
        <v>0</v>
      </c>
      <c r="K98" s="41">
        <f t="shared" si="19"/>
        <v>0</v>
      </c>
      <c r="L98" s="41">
        <f t="shared" si="22"/>
        <v>0</v>
      </c>
    </row>
    <row r="99" spans="1:12" s="43" customFormat="1" x14ac:dyDescent="0.25">
      <c r="A99" s="54"/>
      <c r="B99" s="40" t="s">
        <v>65</v>
      </c>
      <c r="C99" s="41" t="s">
        <v>53</v>
      </c>
      <c r="D99" s="45">
        <f>CEILING(D97*1.25,5)</f>
        <v>15</v>
      </c>
      <c r="E99" s="45">
        <v>3.0400000000000002E-3</v>
      </c>
      <c r="F99" s="45">
        <f t="shared" si="21"/>
        <v>4.5600000000000002E-2</v>
      </c>
      <c r="G99" s="41" t="s">
        <v>53</v>
      </c>
      <c r="H99" s="55">
        <v>0</v>
      </c>
      <c r="I99" s="55">
        <v>0</v>
      </c>
      <c r="J99" s="41">
        <f t="shared" si="19"/>
        <v>0</v>
      </c>
      <c r="K99" s="41">
        <f t="shared" si="19"/>
        <v>0</v>
      </c>
      <c r="L99" s="41">
        <f t="shared" si="22"/>
        <v>0</v>
      </c>
    </row>
    <row r="100" spans="1:12" s="81" customFormat="1" x14ac:dyDescent="0.25">
      <c r="A100" s="54" t="s">
        <v>335</v>
      </c>
      <c r="B100" s="44" t="s">
        <v>461</v>
      </c>
      <c r="C100" s="41" t="s">
        <v>53</v>
      </c>
      <c r="D100" s="41">
        <v>1</v>
      </c>
      <c r="E100" s="45">
        <v>15.1</v>
      </c>
      <c r="F100" s="41">
        <f t="shared" si="21"/>
        <v>15.1</v>
      </c>
      <c r="G100" s="41" t="s">
        <v>53</v>
      </c>
      <c r="H100" s="41">
        <v>0</v>
      </c>
      <c r="I100" s="41">
        <v>0</v>
      </c>
      <c r="J100" s="41">
        <f t="shared" si="19"/>
        <v>0</v>
      </c>
      <c r="K100" s="41">
        <f>$D100*I100</f>
        <v>0</v>
      </c>
      <c r="L100" s="41">
        <f t="shared" si="22"/>
        <v>0</v>
      </c>
    </row>
    <row r="101" spans="1:12" s="81" customFormat="1" x14ac:dyDescent="0.25">
      <c r="A101" s="54" t="s">
        <v>336</v>
      </c>
      <c r="B101" s="44" t="s">
        <v>462</v>
      </c>
      <c r="C101" s="41" t="s">
        <v>53</v>
      </c>
      <c r="D101" s="41">
        <v>1</v>
      </c>
      <c r="E101" s="45">
        <v>15.1</v>
      </c>
      <c r="F101" s="41">
        <f t="shared" si="21"/>
        <v>15.1</v>
      </c>
      <c r="G101" s="41" t="s">
        <v>53</v>
      </c>
      <c r="H101" s="41">
        <v>0</v>
      </c>
      <c r="I101" s="41">
        <v>0</v>
      </c>
      <c r="J101" s="41">
        <f t="shared" si="19"/>
        <v>0</v>
      </c>
      <c r="K101" s="41">
        <f>$D101*I101</f>
        <v>0</v>
      </c>
      <c r="L101" s="41">
        <f t="shared" si="22"/>
        <v>0</v>
      </c>
    </row>
    <row r="102" spans="1:12" s="81" customFormat="1" ht="25.5" x14ac:dyDescent="0.25">
      <c r="A102" s="54" t="s">
        <v>127</v>
      </c>
      <c r="B102" s="40" t="s">
        <v>371</v>
      </c>
      <c r="C102" s="41" t="s">
        <v>53</v>
      </c>
      <c r="D102" s="41">
        <f>4</f>
        <v>4</v>
      </c>
      <c r="E102" s="45">
        <v>0.15</v>
      </c>
      <c r="F102" s="45">
        <f t="shared" si="21"/>
        <v>0.6</v>
      </c>
      <c r="G102" s="41" t="s">
        <v>53</v>
      </c>
      <c r="H102" s="41">
        <v>0</v>
      </c>
      <c r="I102" s="41">
        <v>0</v>
      </c>
      <c r="J102" s="41">
        <f>$D102*H102</f>
        <v>0</v>
      </c>
      <c r="K102" s="41">
        <f>$D102*I102</f>
        <v>0</v>
      </c>
      <c r="L102" s="41">
        <f t="shared" si="22"/>
        <v>0</v>
      </c>
    </row>
    <row r="103" spans="1:12" s="81" customFormat="1" ht="25" x14ac:dyDescent="0.25">
      <c r="A103" s="54"/>
      <c r="B103" s="56" t="s">
        <v>316</v>
      </c>
      <c r="C103" s="41" t="s">
        <v>53</v>
      </c>
      <c r="D103" s="41">
        <f>D102+2+1+1</f>
        <v>8</v>
      </c>
      <c r="E103" s="45">
        <v>0.37</v>
      </c>
      <c r="F103" s="41">
        <f t="shared" si="21"/>
        <v>2.96</v>
      </c>
      <c r="G103" s="41" t="s">
        <v>53</v>
      </c>
      <c r="H103" s="41">
        <v>0</v>
      </c>
      <c r="I103" s="41">
        <v>0</v>
      </c>
      <c r="J103" s="41">
        <f>$D103*H103</f>
        <v>0</v>
      </c>
      <c r="K103" s="41">
        <f t="shared" si="19"/>
        <v>0</v>
      </c>
      <c r="L103" s="41">
        <f t="shared" si="22"/>
        <v>0</v>
      </c>
    </row>
    <row r="104" spans="1:12" s="81" customFormat="1" x14ac:dyDescent="0.25">
      <c r="A104" s="54"/>
      <c r="B104" s="93" t="s">
        <v>317</v>
      </c>
      <c r="C104" s="41" t="s">
        <v>53</v>
      </c>
      <c r="D104" s="41">
        <f>D103</f>
        <v>8</v>
      </c>
      <c r="E104" s="45">
        <f>0.1</f>
        <v>0.1</v>
      </c>
      <c r="F104" s="41">
        <f t="shared" si="21"/>
        <v>0.8</v>
      </c>
      <c r="G104" s="41" t="s">
        <v>53</v>
      </c>
      <c r="H104" s="41">
        <v>0</v>
      </c>
      <c r="I104" s="41">
        <v>0</v>
      </c>
      <c r="J104" s="41">
        <f>$D104*H104</f>
        <v>0</v>
      </c>
      <c r="K104" s="41"/>
      <c r="L104" s="41">
        <f t="shared" si="22"/>
        <v>0</v>
      </c>
    </row>
    <row r="105" spans="1:12" s="81" customFormat="1" ht="25.5" x14ac:dyDescent="0.25">
      <c r="A105" s="87" t="s">
        <v>128</v>
      </c>
      <c r="B105" s="44" t="s">
        <v>318</v>
      </c>
      <c r="C105" s="41" t="s">
        <v>53</v>
      </c>
      <c r="D105" s="41">
        <f>0</f>
        <v>0</v>
      </c>
      <c r="E105" s="45">
        <v>0.15</v>
      </c>
      <c r="F105" s="55">
        <f t="shared" ref="F105:F110" si="23">D105*E105</f>
        <v>0</v>
      </c>
      <c r="G105" s="41" t="s">
        <v>53</v>
      </c>
      <c r="H105" s="41">
        <v>0</v>
      </c>
      <c r="I105" s="41">
        <v>0</v>
      </c>
      <c r="J105" s="41">
        <f t="shared" si="19"/>
        <v>0</v>
      </c>
      <c r="K105" s="41">
        <f>$D105*I105</f>
        <v>0</v>
      </c>
      <c r="L105" s="41">
        <f t="shared" si="20"/>
        <v>0</v>
      </c>
    </row>
    <row r="106" spans="1:12" s="81" customFormat="1" ht="25" x14ac:dyDescent="0.25">
      <c r="A106" s="54"/>
      <c r="B106" s="56" t="s">
        <v>319</v>
      </c>
      <c r="C106" s="41" t="s">
        <v>53</v>
      </c>
      <c r="D106" s="41">
        <f>D105+4+1</f>
        <v>5</v>
      </c>
      <c r="E106" s="45">
        <v>0.37</v>
      </c>
      <c r="F106" s="55">
        <f t="shared" si="23"/>
        <v>1.85</v>
      </c>
      <c r="G106" s="41" t="s">
        <v>53</v>
      </c>
      <c r="H106" s="41">
        <v>0</v>
      </c>
      <c r="I106" s="41">
        <v>0</v>
      </c>
      <c r="J106" s="41">
        <f t="shared" si="19"/>
        <v>0</v>
      </c>
      <c r="K106" s="41">
        <f t="shared" si="19"/>
        <v>0</v>
      </c>
      <c r="L106" s="41">
        <f t="shared" si="20"/>
        <v>0</v>
      </c>
    </row>
    <row r="107" spans="1:12" s="81" customFormat="1" x14ac:dyDescent="0.25">
      <c r="A107" s="54"/>
      <c r="B107" s="93" t="s">
        <v>320</v>
      </c>
      <c r="C107" s="41" t="s">
        <v>53</v>
      </c>
      <c r="D107" s="41">
        <f>D106</f>
        <v>5</v>
      </c>
      <c r="E107" s="45">
        <f>0.1</f>
        <v>0.1</v>
      </c>
      <c r="F107" s="55">
        <f t="shared" si="23"/>
        <v>0.5</v>
      </c>
      <c r="G107" s="41" t="s">
        <v>53</v>
      </c>
      <c r="H107" s="41">
        <v>0</v>
      </c>
      <c r="I107" s="41">
        <v>0</v>
      </c>
      <c r="J107" s="41">
        <f t="shared" si="19"/>
        <v>0</v>
      </c>
      <c r="K107" s="41">
        <f t="shared" si="19"/>
        <v>0</v>
      </c>
      <c r="L107" s="41">
        <f t="shared" si="20"/>
        <v>0</v>
      </c>
    </row>
    <row r="108" spans="1:12" s="81" customFormat="1" ht="25.5" x14ac:dyDescent="0.25">
      <c r="A108" s="54" t="s">
        <v>129</v>
      </c>
      <c r="B108" s="40" t="s">
        <v>321</v>
      </c>
      <c r="C108" s="41" t="s">
        <v>53</v>
      </c>
      <c r="D108" s="41">
        <v>1</v>
      </c>
      <c r="E108" s="45">
        <v>0.15</v>
      </c>
      <c r="F108" s="41">
        <f t="shared" si="23"/>
        <v>0.15</v>
      </c>
      <c r="G108" s="41" t="s">
        <v>53</v>
      </c>
      <c r="H108" s="41">
        <v>0</v>
      </c>
      <c r="I108" s="41">
        <v>0</v>
      </c>
      <c r="J108" s="41">
        <f t="shared" si="19"/>
        <v>0</v>
      </c>
      <c r="K108" s="41">
        <f t="shared" si="19"/>
        <v>0</v>
      </c>
      <c r="L108" s="41">
        <f t="shared" si="20"/>
        <v>0</v>
      </c>
    </row>
    <row r="109" spans="1:12" s="81" customFormat="1" ht="25" x14ac:dyDescent="0.25">
      <c r="A109" s="54"/>
      <c r="B109" s="56" t="s">
        <v>322</v>
      </c>
      <c r="C109" s="41" t="s">
        <v>53</v>
      </c>
      <c r="D109" s="41">
        <f>D108+1</f>
        <v>2</v>
      </c>
      <c r="E109" s="45">
        <v>0.37</v>
      </c>
      <c r="F109" s="41">
        <f t="shared" si="23"/>
        <v>0.74</v>
      </c>
      <c r="G109" s="41" t="s">
        <v>53</v>
      </c>
      <c r="H109" s="41">
        <v>0</v>
      </c>
      <c r="I109" s="41">
        <v>0</v>
      </c>
      <c r="J109" s="41">
        <f t="shared" si="19"/>
        <v>0</v>
      </c>
      <c r="K109" s="41">
        <f t="shared" si="19"/>
        <v>0</v>
      </c>
      <c r="L109" s="41">
        <f t="shared" si="20"/>
        <v>0</v>
      </c>
    </row>
    <row r="110" spans="1:12" s="81" customFormat="1" x14ac:dyDescent="0.25">
      <c r="A110" s="54"/>
      <c r="B110" s="93" t="s">
        <v>323</v>
      </c>
      <c r="C110" s="41" t="s">
        <v>53</v>
      </c>
      <c r="D110" s="41">
        <f>D108</f>
        <v>1</v>
      </c>
      <c r="E110" s="45">
        <f>0.1</f>
        <v>0.1</v>
      </c>
      <c r="F110" s="45">
        <f t="shared" si="23"/>
        <v>0.1</v>
      </c>
      <c r="G110" s="41" t="s">
        <v>53</v>
      </c>
      <c r="H110" s="41">
        <v>0</v>
      </c>
      <c r="I110" s="41">
        <v>0</v>
      </c>
      <c r="J110" s="41">
        <f t="shared" si="19"/>
        <v>0</v>
      </c>
      <c r="K110" s="41">
        <f t="shared" si="19"/>
        <v>0</v>
      </c>
      <c r="L110" s="41">
        <f t="shared" si="20"/>
        <v>0</v>
      </c>
    </row>
    <row r="111" spans="1:12" s="81" customFormat="1" ht="25" x14ac:dyDescent="0.25">
      <c r="A111" s="87" t="s">
        <v>187</v>
      </c>
      <c r="B111" s="40" t="s">
        <v>324</v>
      </c>
      <c r="C111" s="41" t="s">
        <v>53</v>
      </c>
      <c r="D111" s="41">
        <v>3</v>
      </c>
      <c r="E111" s="45">
        <v>0.15</v>
      </c>
      <c r="F111" s="45">
        <f>D111*E111</f>
        <v>0.44999999999999996</v>
      </c>
      <c r="G111" s="41" t="s">
        <v>53</v>
      </c>
      <c r="H111" s="41">
        <v>0</v>
      </c>
      <c r="I111" s="41">
        <v>0</v>
      </c>
      <c r="J111" s="41">
        <f>$D111*H111</f>
        <v>0</v>
      </c>
      <c r="K111" s="41">
        <f>$D111*I111</f>
        <v>0</v>
      </c>
      <c r="L111" s="41">
        <f>J111+K111</f>
        <v>0</v>
      </c>
    </row>
    <row r="112" spans="1:12" s="81" customFormat="1" ht="28.5" x14ac:dyDescent="0.25">
      <c r="A112" s="54"/>
      <c r="B112" s="56" t="s">
        <v>325</v>
      </c>
      <c r="C112" s="41" t="s">
        <v>53</v>
      </c>
      <c r="D112" s="41">
        <f>D111*2</f>
        <v>6</v>
      </c>
      <c r="E112" s="45">
        <v>0.37</v>
      </c>
      <c r="F112" s="41">
        <f>D112*E112</f>
        <v>2.2199999999999998</v>
      </c>
      <c r="G112" s="41" t="s">
        <v>53</v>
      </c>
      <c r="H112" s="41">
        <v>0</v>
      </c>
      <c r="I112" s="41">
        <v>0</v>
      </c>
      <c r="J112" s="41">
        <f>$D112*H112</f>
        <v>0</v>
      </c>
      <c r="K112" s="41">
        <f t="shared" si="19"/>
        <v>0</v>
      </c>
      <c r="L112" s="41">
        <f>J112+K112</f>
        <v>0</v>
      </c>
    </row>
    <row r="113" spans="1:244" s="81" customFormat="1" ht="15.5" x14ac:dyDescent="0.25">
      <c r="A113" s="54"/>
      <c r="B113" s="93" t="s">
        <v>326</v>
      </c>
      <c r="C113" s="41" t="s">
        <v>53</v>
      </c>
      <c r="D113" s="41">
        <f>D112</f>
        <v>6</v>
      </c>
      <c r="E113" s="45">
        <f>0.1</f>
        <v>0.1</v>
      </c>
      <c r="F113" s="55">
        <f>D113*E113</f>
        <v>0.60000000000000009</v>
      </c>
      <c r="G113" s="41" t="s">
        <v>53</v>
      </c>
      <c r="H113" s="41">
        <v>0</v>
      </c>
      <c r="I113" s="41">
        <v>0</v>
      </c>
      <c r="J113" s="41">
        <f>$D113*H113</f>
        <v>0</v>
      </c>
      <c r="K113" s="41">
        <f t="shared" ref="K113:K114" si="24">$D113*I113</f>
        <v>0</v>
      </c>
      <c r="L113" s="41">
        <f>J113+K113</f>
        <v>0</v>
      </c>
    </row>
    <row r="114" spans="1:244" s="81" customFormat="1" x14ac:dyDescent="0.25">
      <c r="A114" s="54"/>
      <c r="B114" s="40" t="s">
        <v>126</v>
      </c>
      <c r="C114" s="41" t="s">
        <v>53</v>
      </c>
      <c r="D114" s="45">
        <f>CEILING((D103+D106+D109+D112)*1.25,2)</f>
        <v>28</v>
      </c>
      <c r="E114" s="45">
        <f>0.00062</f>
        <v>6.2E-4</v>
      </c>
      <c r="F114" s="45">
        <f>D114*E114</f>
        <v>1.736E-2</v>
      </c>
      <c r="G114" s="41" t="s">
        <v>53</v>
      </c>
      <c r="H114" s="41">
        <v>0</v>
      </c>
      <c r="I114" s="41">
        <v>0</v>
      </c>
      <c r="J114" s="41">
        <f>$D114*H114</f>
        <v>0</v>
      </c>
      <c r="K114" s="41">
        <f t="shared" si="24"/>
        <v>0</v>
      </c>
      <c r="L114" s="41">
        <f>J114+K114</f>
        <v>0</v>
      </c>
    </row>
    <row r="115" spans="1:244" s="81" customFormat="1" x14ac:dyDescent="0.25">
      <c r="A115" s="16"/>
      <c r="B115" s="2"/>
      <c r="C115" s="3"/>
      <c r="D115" s="1"/>
      <c r="E115" s="1"/>
      <c r="F115" s="1"/>
      <c r="G115" s="1"/>
      <c r="H115" s="3"/>
      <c r="I115" s="3"/>
      <c r="J115" s="3"/>
      <c r="K115" s="3"/>
      <c r="L115" s="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</row>
    <row r="116" spans="1:244" s="81" customFormat="1" ht="13" x14ac:dyDescent="0.25">
      <c r="A116" s="48"/>
      <c r="B116" s="49" t="s">
        <v>57</v>
      </c>
      <c r="C116" s="41"/>
      <c r="D116" s="1"/>
      <c r="E116" s="50"/>
      <c r="F116" s="50">
        <f>SUM(F87:F115)</f>
        <v>55.867280000000001</v>
      </c>
      <c r="G116" s="50"/>
      <c r="H116" s="50"/>
      <c r="I116" s="50"/>
      <c r="J116" s="50">
        <f>CEILING(SUM(J87:J115),100)</f>
        <v>0</v>
      </c>
      <c r="K116" s="50">
        <f>CEILING(SUM(K87:K115),100)</f>
        <v>0</v>
      </c>
      <c r="L116" s="50">
        <f>J116+K116</f>
        <v>0</v>
      </c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</row>
    <row r="117" spans="1:244" s="81" customFormat="1" x14ac:dyDescent="0.25">
      <c r="A117" s="18"/>
      <c r="B117" s="9"/>
      <c r="C117" s="12"/>
      <c r="D117" s="24"/>
      <c r="E117" s="12"/>
      <c r="F117" s="12"/>
      <c r="G117" s="12"/>
      <c r="H117" s="11"/>
      <c r="I117" s="11"/>
      <c r="J117" s="11"/>
      <c r="K117" s="11"/>
      <c r="L117" s="11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</row>
    <row r="118" spans="1:244" s="43" customFormat="1" ht="13" x14ac:dyDescent="0.25">
      <c r="A118" s="95" t="s">
        <v>56</v>
      </c>
      <c r="B118" s="13" t="s">
        <v>66</v>
      </c>
      <c r="C118" s="12"/>
      <c r="D118" s="12"/>
      <c r="E118" s="12"/>
      <c r="F118" s="12"/>
      <c r="G118" s="12"/>
      <c r="H118" s="11"/>
      <c r="I118" s="11"/>
      <c r="J118" s="11"/>
      <c r="K118" s="11"/>
      <c r="L118" s="11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</row>
    <row r="119" spans="1:244" s="81" customFormat="1" ht="15.5" x14ac:dyDescent="0.25">
      <c r="A119" s="54" t="s">
        <v>190</v>
      </c>
      <c r="B119" s="44" t="s">
        <v>463</v>
      </c>
      <c r="C119" s="41" t="s">
        <v>53</v>
      </c>
      <c r="D119" s="41">
        <f>16</f>
        <v>16</v>
      </c>
      <c r="E119" s="45">
        <v>0.6</v>
      </c>
      <c r="F119" s="41">
        <f>D119*E119</f>
        <v>9.6</v>
      </c>
      <c r="G119" s="41" t="s">
        <v>53</v>
      </c>
      <c r="H119" s="41">
        <v>0</v>
      </c>
      <c r="I119" s="41">
        <v>0</v>
      </c>
      <c r="J119" s="41">
        <f>$D119*H119</f>
        <v>0</v>
      </c>
      <c r="K119" s="41">
        <f>$D119*I119</f>
        <v>0</v>
      </c>
      <c r="L119" s="41">
        <f>J119+K119</f>
        <v>0</v>
      </c>
    </row>
    <row r="120" spans="1:244" s="81" customFormat="1" ht="41" x14ac:dyDescent="0.25">
      <c r="A120" s="54"/>
      <c r="B120" s="92" t="s">
        <v>464</v>
      </c>
      <c r="C120" s="41" t="s">
        <v>53</v>
      </c>
      <c r="D120" s="41">
        <f>D119</f>
        <v>16</v>
      </c>
      <c r="E120" s="45">
        <v>0.1</v>
      </c>
      <c r="F120" s="41">
        <f>D120*E120</f>
        <v>1.6</v>
      </c>
      <c r="G120" s="41" t="s">
        <v>53</v>
      </c>
      <c r="H120" s="41">
        <v>0</v>
      </c>
      <c r="I120" s="41">
        <v>0</v>
      </c>
      <c r="J120" s="41">
        <f t="shared" ref="J120:K135" si="25">$D120*H120</f>
        <v>0</v>
      </c>
      <c r="K120" s="41">
        <f t="shared" si="25"/>
        <v>0</v>
      </c>
      <c r="L120" s="41">
        <f>J120+K120</f>
        <v>0</v>
      </c>
    </row>
    <row r="121" spans="1:244" s="81" customFormat="1" x14ac:dyDescent="0.25">
      <c r="A121" s="54" t="s">
        <v>188</v>
      </c>
      <c r="B121" s="44" t="s">
        <v>465</v>
      </c>
      <c r="C121" s="41" t="s">
        <v>53</v>
      </c>
      <c r="D121" s="41">
        <f>6</f>
        <v>6</v>
      </c>
      <c r="E121" s="45">
        <v>0.8</v>
      </c>
      <c r="F121" s="41">
        <f>D121*E121</f>
        <v>4.8000000000000007</v>
      </c>
      <c r="G121" s="41" t="s">
        <v>53</v>
      </c>
      <c r="H121" s="41">
        <v>0</v>
      </c>
      <c r="I121" s="41">
        <v>0</v>
      </c>
      <c r="J121" s="41">
        <f t="shared" si="25"/>
        <v>0</v>
      </c>
      <c r="K121" s="41">
        <f t="shared" si="25"/>
        <v>0</v>
      </c>
      <c r="L121" s="41">
        <f>J121+K121</f>
        <v>0</v>
      </c>
    </row>
    <row r="122" spans="1:244" s="81" customFormat="1" x14ac:dyDescent="0.25">
      <c r="A122" s="54" t="s">
        <v>189</v>
      </c>
      <c r="B122" s="44" t="s">
        <v>466</v>
      </c>
      <c r="C122" s="41" t="s">
        <v>53</v>
      </c>
      <c r="D122" s="41">
        <f>1</f>
        <v>1</v>
      </c>
      <c r="E122" s="45">
        <v>1.4</v>
      </c>
      <c r="F122" s="41">
        <f>D122*E122</f>
        <v>1.4</v>
      </c>
      <c r="G122" s="41" t="s">
        <v>53</v>
      </c>
      <c r="H122" s="41">
        <v>0</v>
      </c>
      <c r="I122" s="41">
        <v>0</v>
      </c>
      <c r="J122" s="41">
        <f>$D122*H122</f>
        <v>0</v>
      </c>
      <c r="K122" s="41">
        <f>$D122*I122</f>
        <v>0</v>
      </c>
      <c r="L122" s="41">
        <f>J122+K122</f>
        <v>0</v>
      </c>
    </row>
    <row r="123" spans="1:244" s="81" customFormat="1" x14ac:dyDescent="0.25">
      <c r="A123" s="54" t="s">
        <v>154</v>
      </c>
      <c r="B123" s="44" t="s">
        <v>467</v>
      </c>
      <c r="C123" s="41" t="s">
        <v>53</v>
      </c>
      <c r="D123" s="41">
        <f>21</f>
        <v>21</v>
      </c>
      <c r="E123" s="45">
        <v>2</v>
      </c>
      <c r="F123" s="41">
        <f t="shared" ref="F123:F129" si="26">D123*E123</f>
        <v>42</v>
      </c>
      <c r="G123" s="41" t="s">
        <v>53</v>
      </c>
      <c r="H123" s="41">
        <v>0</v>
      </c>
      <c r="I123" s="41">
        <v>0</v>
      </c>
      <c r="J123" s="41">
        <f t="shared" si="25"/>
        <v>0</v>
      </c>
      <c r="K123" s="41">
        <f t="shared" si="25"/>
        <v>0</v>
      </c>
      <c r="L123" s="41">
        <f t="shared" ref="L123:L129" si="27">J123+K123</f>
        <v>0</v>
      </c>
    </row>
    <row r="124" spans="1:244" s="81" customFormat="1" x14ac:dyDescent="0.25">
      <c r="A124" s="54" t="s">
        <v>191</v>
      </c>
      <c r="B124" s="44" t="s">
        <v>468</v>
      </c>
      <c r="C124" s="41" t="s">
        <v>53</v>
      </c>
      <c r="D124" s="41">
        <f>2</f>
        <v>2</v>
      </c>
      <c r="E124" s="45">
        <v>3</v>
      </c>
      <c r="F124" s="41">
        <f t="shared" si="26"/>
        <v>6</v>
      </c>
      <c r="G124" s="41" t="s">
        <v>53</v>
      </c>
      <c r="H124" s="41">
        <v>0</v>
      </c>
      <c r="I124" s="41">
        <v>0</v>
      </c>
      <c r="J124" s="41">
        <f t="shared" si="25"/>
        <v>0</v>
      </c>
      <c r="K124" s="41">
        <f t="shared" si="25"/>
        <v>0</v>
      </c>
      <c r="L124" s="41">
        <f t="shared" si="27"/>
        <v>0</v>
      </c>
    </row>
    <row r="125" spans="1:244" s="81" customFormat="1" x14ac:dyDescent="0.25">
      <c r="A125" s="54" t="s">
        <v>192</v>
      </c>
      <c r="B125" s="44" t="s">
        <v>469</v>
      </c>
      <c r="C125" s="41" t="s">
        <v>53</v>
      </c>
      <c r="D125" s="41">
        <f>2</f>
        <v>2</v>
      </c>
      <c r="E125" s="45">
        <v>2.4</v>
      </c>
      <c r="F125" s="41">
        <f t="shared" si="26"/>
        <v>4.8</v>
      </c>
      <c r="G125" s="41" t="s">
        <v>53</v>
      </c>
      <c r="H125" s="41">
        <v>0</v>
      </c>
      <c r="I125" s="41">
        <v>0</v>
      </c>
      <c r="J125" s="41">
        <f t="shared" si="25"/>
        <v>0</v>
      </c>
      <c r="K125" s="41">
        <f t="shared" si="25"/>
        <v>0</v>
      </c>
      <c r="L125" s="41">
        <f t="shared" si="27"/>
        <v>0</v>
      </c>
    </row>
    <row r="126" spans="1:244" s="81" customFormat="1" x14ac:dyDescent="0.25">
      <c r="A126" s="54" t="s">
        <v>195</v>
      </c>
      <c r="B126" s="44" t="s">
        <v>470</v>
      </c>
      <c r="C126" s="41" t="s">
        <v>53</v>
      </c>
      <c r="D126" s="41">
        <f>2</f>
        <v>2</v>
      </c>
      <c r="E126" s="45">
        <v>3</v>
      </c>
      <c r="F126" s="41">
        <f t="shared" si="26"/>
        <v>6</v>
      </c>
      <c r="G126" s="41" t="s">
        <v>53</v>
      </c>
      <c r="H126" s="41">
        <v>0</v>
      </c>
      <c r="I126" s="41">
        <v>0</v>
      </c>
      <c r="J126" s="41">
        <f t="shared" si="25"/>
        <v>0</v>
      </c>
      <c r="K126" s="41">
        <f t="shared" si="25"/>
        <v>0</v>
      </c>
      <c r="L126" s="41">
        <f t="shared" si="27"/>
        <v>0</v>
      </c>
    </row>
    <row r="127" spans="1:244" s="81" customFormat="1" x14ac:dyDescent="0.25">
      <c r="A127" s="54" t="s">
        <v>193</v>
      </c>
      <c r="B127" s="44" t="s">
        <v>472</v>
      </c>
      <c r="C127" s="41" t="s">
        <v>53</v>
      </c>
      <c r="D127" s="41">
        <f>7-2</f>
        <v>5</v>
      </c>
      <c r="E127" s="45">
        <v>4.2</v>
      </c>
      <c r="F127" s="41">
        <f t="shared" si="26"/>
        <v>21</v>
      </c>
      <c r="G127" s="41" t="s">
        <v>53</v>
      </c>
      <c r="H127" s="41">
        <v>0</v>
      </c>
      <c r="I127" s="41">
        <v>0</v>
      </c>
      <c r="J127" s="41">
        <f t="shared" si="25"/>
        <v>0</v>
      </c>
      <c r="K127" s="41">
        <f t="shared" si="25"/>
        <v>0</v>
      </c>
      <c r="L127" s="41">
        <f t="shared" si="27"/>
        <v>0</v>
      </c>
    </row>
    <row r="128" spans="1:244" s="81" customFormat="1" x14ac:dyDescent="0.25">
      <c r="A128" s="54" t="s">
        <v>194</v>
      </c>
      <c r="B128" s="44" t="s">
        <v>471</v>
      </c>
      <c r="C128" s="41" t="s">
        <v>53</v>
      </c>
      <c r="D128" s="41">
        <f>2</f>
        <v>2</v>
      </c>
      <c r="E128" s="45">
        <v>3.2</v>
      </c>
      <c r="F128" s="41">
        <f t="shared" si="26"/>
        <v>6.4</v>
      </c>
      <c r="G128" s="41" t="s">
        <v>53</v>
      </c>
      <c r="H128" s="41">
        <v>0</v>
      </c>
      <c r="I128" s="41">
        <v>0</v>
      </c>
      <c r="J128" s="41">
        <f t="shared" si="25"/>
        <v>0</v>
      </c>
      <c r="K128" s="41">
        <f t="shared" si="25"/>
        <v>0</v>
      </c>
      <c r="L128" s="41">
        <f t="shared" si="27"/>
        <v>0</v>
      </c>
    </row>
    <row r="129" spans="1:244" s="81" customFormat="1" x14ac:dyDescent="0.25">
      <c r="A129" s="54" t="s">
        <v>196</v>
      </c>
      <c r="B129" s="44" t="s">
        <v>473</v>
      </c>
      <c r="C129" s="41" t="s">
        <v>53</v>
      </c>
      <c r="D129" s="41">
        <f>6</f>
        <v>6</v>
      </c>
      <c r="E129" s="45">
        <v>6.3</v>
      </c>
      <c r="F129" s="41">
        <f t="shared" si="26"/>
        <v>37.799999999999997</v>
      </c>
      <c r="G129" s="41" t="s">
        <v>53</v>
      </c>
      <c r="H129" s="41">
        <v>0</v>
      </c>
      <c r="I129" s="41">
        <v>0</v>
      </c>
      <c r="J129" s="41">
        <f t="shared" si="25"/>
        <v>0</v>
      </c>
      <c r="K129" s="41">
        <f t="shared" si="25"/>
        <v>0</v>
      </c>
      <c r="L129" s="41">
        <f t="shared" si="27"/>
        <v>0</v>
      </c>
    </row>
    <row r="130" spans="1:244" s="81" customFormat="1" x14ac:dyDescent="0.25">
      <c r="A130" s="54" t="s">
        <v>197</v>
      </c>
      <c r="B130" s="44" t="s">
        <v>474</v>
      </c>
      <c r="C130" s="41" t="s">
        <v>53</v>
      </c>
      <c r="D130" s="41">
        <f>6</f>
        <v>6</v>
      </c>
      <c r="E130" s="45">
        <v>10.9</v>
      </c>
      <c r="F130" s="41">
        <f t="shared" ref="F130:F145" si="28">D130*E130</f>
        <v>65.400000000000006</v>
      </c>
      <c r="G130" s="41" t="s">
        <v>53</v>
      </c>
      <c r="H130" s="41">
        <v>0</v>
      </c>
      <c r="I130" s="41">
        <v>0</v>
      </c>
      <c r="J130" s="41">
        <f t="shared" si="25"/>
        <v>0</v>
      </c>
      <c r="K130" s="41">
        <f t="shared" si="25"/>
        <v>0</v>
      </c>
      <c r="L130" s="41">
        <f t="shared" ref="L130:L145" si="29">J130+K130</f>
        <v>0</v>
      </c>
    </row>
    <row r="131" spans="1:244" s="81" customFormat="1" x14ac:dyDescent="0.25">
      <c r="A131" s="54" t="s">
        <v>198</v>
      </c>
      <c r="B131" s="44" t="s">
        <v>475</v>
      </c>
      <c r="C131" s="41" t="s">
        <v>53</v>
      </c>
      <c r="D131" s="41">
        <f>2</f>
        <v>2</v>
      </c>
      <c r="E131" s="45">
        <v>32.799999999999997</v>
      </c>
      <c r="F131" s="41">
        <f t="shared" si="28"/>
        <v>65.599999999999994</v>
      </c>
      <c r="G131" s="41" t="s">
        <v>53</v>
      </c>
      <c r="H131" s="41">
        <v>0</v>
      </c>
      <c r="I131" s="41">
        <v>0</v>
      </c>
      <c r="J131" s="41">
        <f t="shared" si="25"/>
        <v>0</v>
      </c>
      <c r="K131" s="41">
        <f t="shared" si="25"/>
        <v>0</v>
      </c>
      <c r="L131" s="41">
        <f t="shared" si="29"/>
        <v>0</v>
      </c>
    </row>
    <row r="132" spans="1:244" s="81" customFormat="1" x14ac:dyDescent="0.25">
      <c r="A132" s="54" t="s">
        <v>199</v>
      </c>
      <c r="B132" s="44" t="s">
        <v>476</v>
      </c>
      <c r="C132" s="41" t="s">
        <v>53</v>
      </c>
      <c r="D132" s="41">
        <f>2</f>
        <v>2</v>
      </c>
      <c r="E132" s="45">
        <v>28.1</v>
      </c>
      <c r="F132" s="41">
        <f t="shared" si="28"/>
        <v>56.2</v>
      </c>
      <c r="G132" s="41" t="s">
        <v>53</v>
      </c>
      <c r="H132" s="41">
        <v>0</v>
      </c>
      <c r="I132" s="41">
        <v>0</v>
      </c>
      <c r="J132" s="41">
        <f t="shared" si="25"/>
        <v>0</v>
      </c>
      <c r="K132" s="41">
        <f t="shared" si="25"/>
        <v>0</v>
      </c>
      <c r="L132" s="41">
        <f t="shared" si="29"/>
        <v>0</v>
      </c>
    </row>
    <row r="133" spans="1:244" s="81" customFormat="1" x14ac:dyDescent="0.25">
      <c r="A133" s="54" t="s">
        <v>201</v>
      </c>
      <c r="B133" s="44" t="s">
        <v>477</v>
      </c>
      <c r="C133" s="41" t="s">
        <v>53</v>
      </c>
      <c r="D133" s="41">
        <f>2</f>
        <v>2</v>
      </c>
      <c r="E133" s="45">
        <v>0.8</v>
      </c>
      <c r="F133" s="41">
        <f t="shared" si="28"/>
        <v>1.6</v>
      </c>
      <c r="G133" s="41" t="s">
        <v>53</v>
      </c>
      <c r="H133" s="41">
        <v>0</v>
      </c>
      <c r="I133" s="41">
        <v>0</v>
      </c>
      <c r="J133" s="41">
        <f t="shared" si="25"/>
        <v>0</v>
      </c>
      <c r="K133" s="41">
        <f t="shared" si="25"/>
        <v>0</v>
      </c>
      <c r="L133" s="41">
        <f t="shared" si="29"/>
        <v>0</v>
      </c>
    </row>
    <row r="134" spans="1:244" s="81" customFormat="1" x14ac:dyDescent="0.25">
      <c r="A134" s="54" t="s">
        <v>202</v>
      </c>
      <c r="B134" s="44" t="s">
        <v>478</v>
      </c>
      <c r="C134" s="41" t="s">
        <v>53</v>
      </c>
      <c r="D134" s="41">
        <f>1</f>
        <v>1</v>
      </c>
      <c r="E134" s="45">
        <v>3</v>
      </c>
      <c r="F134" s="41">
        <f t="shared" si="28"/>
        <v>3</v>
      </c>
      <c r="G134" s="41" t="s">
        <v>53</v>
      </c>
      <c r="H134" s="41">
        <v>0</v>
      </c>
      <c r="I134" s="41">
        <v>0</v>
      </c>
      <c r="J134" s="41">
        <f t="shared" si="25"/>
        <v>0</v>
      </c>
      <c r="K134" s="41">
        <f t="shared" si="25"/>
        <v>0</v>
      </c>
      <c r="L134" s="41">
        <f t="shared" si="29"/>
        <v>0</v>
      </c>
    </row>
    <row r="135" spans="1:244" s="81" customFormat="1" x14ac:dyDescent="0.25">
      <c r="A135" s="54" t="s">
        <v>200</v>
      </c>
      <c r="B135" s="44" t="s">
        <v>479</v>
      </c>
      <c r="C135" s="41" t="s">
        <v>53</v>
      </c>
      <c r="D135" s="41">
        <f>1</f>
        <v>1</v>
      </c>
      <c r="E135" s="45">
        <v>3</v>
      </c>
      <c r="F135" s="41">
        <f t="shared" si="28"/>
        <v>3</v>
      </c>
      <c r="G135" s="41" t="s">
        <v>53</v>
      </c>
      <c r="H135" s="41">
        <v>0</v>
      </c>
      <c r="I135" s="41">
        <v>0</v>
      </c>
      <c r="J135" s="41">
        <f t="shared" si="25"/>
        <v>0</v>
      </c>
      <c r="K135" s="41">
        <f t="shared" si="25"/>
        <v>0</v>
      </c>
      <c r="L135" s="41">
        <f t="shared" si="29"/>
        <v>0</v>
      </c>
    </row>
    <row r="136" spans="1:244" s="81" customFormat="1" ht="37.5" x14ac:dyDescent="0.25">
      <c r="A136" s="54" t="s">
        <v>153</v>
      </c>
      <c r="B136" s="44" t="s">
        <v>480</v>
      </c>
      <c r="C136" s="41" t="s">
        <v>53</v>
      </c>
      <c r="D136" s="41">
        <f>15</f>
        <v>15</v>
      </c>
      <c r="E136" s="45">
        <v>1.4</v>
      </c>
      <c r="F136" s="41">
        <f t="shared" si="28"/>
        <v>21</v>
      </c>
      <c r="G136" s="41" t="s">
        <v>53</v>
      </c>
      <c r="H136" s="41">
        <v>0</v>
      </c>
      <c r="I136" s="41">
        <v>0</v>
      </c>
      <c r="J136" s="41">
        <f t="shared" ref="J136:K138" si="30">$D136*H136</f>
        <v>0</v>
      </c>
      <c r="K136" s="41">
        <f t="shared" si="30"/>
        <v>0</v>
      </c>
      <c r="L136" s="41">
        <f t="shared" si="29"/>
        <v>0</v>
      </c>
    </row>
    <row r="137" spans="1:244" s="81" customFormat="1" ht="25" x14ac:dyDescent="0.25">
      <c r="A137" s="54" t="s">
        <v>203</v>
      </c>
      <c r="B137" s="44" t="s">
        <v>481</v>
      </c>
      <c r="C137" s="41" t="s">
        <v>53</v>
      </c>
      <c r="D137" s="41">
        <f>1</f>
        <v>1</v>
      </c>
      <c r="E137" s="45">
        <v>9.3000000000000007</v>
      </c>
      <c r="F137" s="41">
        <f t="shared" si="28"/>
        <v>9.3000000000000007</v>
      </c>
      <c r="G137" s="41" t="s">
        <v>53</v>
      </c>
      <c r="H137" s="41">
        <v>0</v>
      </c>
      <c r="I137" s="41">
        <v>0</v>
      </c>
      <c r="J137" s="41">
        <f t="shared" si="30"/>
        <v>0</v>
      </c>
      <c r="K137" s="41">
        <f t="shared" si="30"/>
        <v>0</v>
      </c>
      <c r="L137" s="41">
        <f t="shared" si="29"/>
        <v>0</v>
      </c>
    </row>
    <row r="138" spans="1:244" s="81" customFormat="1" ht="25" x14ac:dyDescent="0.25">
      <c r="A138" s="54" t="s">
        <v>204</v>
      </c>
      <c r="B138" s="44" t="s">
        <v>482</v>
      </c>
      <c r="C138" s="41" t="s">
        <v>53</v>
      </c>
      <c r="D138" s="41">
        <f>1</f>
        <v>1</v>
      </c>
      <c r="E138" s="45">
        <v>11.9</v>
      </c>
      <c r="F138" s="41">
        <f t="shared" si="28"/>
        <v>11.9</v>
      </c>
      <c r="G138" s="41" t="s">
        <v>53</v>
      </c>
      <c r="H138" s="41">
        <v>0</v>
      </c>
      <c r="I138" s="41">
        <v>0</v>
      </c>
      <c r="J138" s="41">
        <f t="shared" si="30"/>
        <v>0</v>
      </c>
      <c r="K138" s="41">
        <f t="shared" si="30"/>
        <v>0</v>
      </c>
      <c r="L138" s="41">
        <f t="shared" si="29"/>
        <v>0</v>
      </c>
    </row>
    <row r="139" spans="1:244" s="81" customFormat="1" ht="25" x14ac:dyDescent="0.25">
      <c r="A139" s="54" t="s">
        <v>205</v>
      </c>
      <c r="B139" s="44" t="s">
        <v>483</v>
      </c>
      <c r="C139" s="41" t="s">
        <v>53</v>
      </c>
      <c r="D139" s="41">
        <f>1</f>
        <v>1</v>
      </c>
      <c r="E139" s="45">
        <v>11.9</v>
      </c>
      <c r="F139" s="41">
        <f t="shared" si="28"/>
        <v>11.9</v>
      </c>
      <c r="G139" s="41" t="s">
        <v>53</v>
      </c>
      <c r="H139" s="41">
        <v>0</v>
      </c>
      <c r="I139" s="41">
        <v>0</v>
      </c>
      <c r="J139" s="41">
        <f>$D139*H139</f>
        <v>0</v>
      </c>
      <c r="K139" s="41">
        <f>$D139*I139</f>
        <v>0</v>
      </c>
      <c r="L139" s="41">
        <f t="shared" si="29"/>
        <v>0</v>
      </c>
    </row>
    <row r="140" spans="1:244" s="84" customFormat="1" x14ac:dyDescent="0.25">
      <c r="A140" s="54" t="s">
        <v>206</v>
      </c>
      <c r="B140" s="40" t="s">
        <v>484</v>
      </c>
      <c r="C140" s="41" t="s">
        <v>53</v>
      </c>
      <c r="D140" s="41">
        <f>1</f>
        <v>1</v>
      </c>
      <c r="E140" s="45">
        <v>3.5</v>
      </c>
      <c r="F140" s="41">
        <f t="shared" si="28"/>
        <v>3.5</v>
      </c>
      <c r="G140" s="41" t="s">
        <v>53</v>
      </c>
      <c r="H140" s="41">
        <v>0</v>
      </c>
      <c r="I140" s="41">
        <v>0</v>
      </c>
      <c r="J140" s="41">
        <f t="shared" ref="J140:K145" si="31">$D140*H140</f>
        <v>0</v>
      </c>
      <c r="K140" s="41">
        <f>$D140*I140</f>
        <v>0</v>
      </c>
      <c r="L140" s="41">
        <f t="shared" si="29"/>
        <v>0</v>
      </c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1"/>
      <c r="AW140" s="81"/>
      <c r="AX140" s="81"/>
      <c r="AY140" s="81"/>
      <c r="AZ140" s="81"/>
      <c r="BA140" s="81"/>
      <c r="BB140" s="81"/>
      <c r="BC140" s="81"/>
      <c r="BD140" s="81"/>
      <c r="BE140" s="81"/>
      <c r="BF140" s="81"/>
      <c r="BG140" s="81"/>
      <c r="BH140" s="81"/>
      <c r="BI140" s="81"/>
      <c r="BJ140" s="81"/>
      <c r="BK140" s="81"/>
      <c r="BL140" s="81"/>
      <c r="BM140" s="81"/>
      <c r="BN140" s="81"/>
      <c r="BO140" s="81"/>
      <c r="BP140" s="81"/>
      <c r="BQ140" s="81"/>
      <c r="BR140" s="81"/>
      <c r="BS140" s="81"/>
      <c r="BT140" s="81"/>
      <c r="BU140" s="81"/>
      <c r="BV140" s="81"/>
      <c r="BW140" s="81"/>
      <c r="BX140" s="81"/>
      <c r="BY140" s="81"/>
      <c r="BZ140" s="81"/>
      <c r="CA140" s="81"/>
      <c r="CB140" s="81"/>
      <c r="CC140" s="81"/>
      <c r="CD140" s="81"/>
      <c r="CE140" s="81"/>
      <c r="CF140" s="81"/>
      <c r="CG140" s="81"/>
      <c r="CH140" s="81"/>
      <c r="CI140" s="81"/>
      <c r="CJ140" s="81"/>
      <c r="CK140" s="81"/>
      <c r="CL140" s="81"/>
      <c r="CM140" s="81"/>
      <c r="CN140" s="81"/>
      <c r="CO140" s="81"/>
      <c r="CP140" s="81"/>
      <c r="CQ140" s="81"/>
      <c r="CR140" s="81"/>
      <c r="CS140" s="81"/>
      <c r="CT140" s="81"/>
      <c r="CU140" s="81"/>
      <c r="CV140" s="81"/>
      <c r="CW140" s="81"/>
      <c r="CX140" s="81"/>
      <c r="CY140" s="81"/>
      <c r="CZ140" s="81"/>
      <c r="DA140" s="81"/>
      <c r="DB140" s="81"/>
      <c r="DC140" s="81"/>
      <c r="DD140" s="81"/>
      <c r="DE140" s="81"/>
      <c r="DF140" s="81"/>
      <c r="DG140" s="81"/>
      <c r="DH140" s="81"/>
      <c r="DI140" s="81"/>
      <c r="DJ140" s="81"/>
      <c r="DK140" s="81"/>
      <c r="DL140" s="81"/>
      <c r="DM140" s="81"/>
      <c r="DN140" s="81"/>
      <c r="DO140" s="81"/>
      <c r="DP140" s="81"/>
      <c r="DQ140" s="81"/>
      <c r="DR140" s="81"/>
      <c r="DS140" s="81"/>
      <c r="DT140" s="81"/>
      <c r="DU140" s="81"/>
      <c r="DV140" s="81"/>
      <c r="DW140" s="81"/>
      <c r="DX140" s="81"/>
      <c r="DY140" s="81"/>
      <c r="DZ140" s="81"/>
      <c r="EA140" s="81"/>
      <c r="EB140" s="81"/>
      <c r="EC140" s="81"/>
      <c r="ED140" s="81"/>
      <c r="EE140" s="81"/>
      <c r="EF140" s="81"/>
      <c r="EG140" s="81"/>
      <c r="EH140" s="81"/>
      <c r="EI140" s="81"/>
      <c r="EJ140" s="81"/>
      <c r="EK140" s="81"/>
      <c r="EL140" s="81"/>
      <c r="EM140" s="81"/>
      <c r="EN140" s="81"/>
      <c r="EO140" s="81"/>
      <c r="EP140" s="81"/>
      <c r="EQ140" s="81"/>
      <c r="ER140" s="81"/>
      <c r="ES140" s="81"/>
      <c r="ET140" s="81"/>
      <c r="EU140" s="81"/>
      <c r="EV140" s="81"/>
      <c r="EW140" s="81"/>
      <c r="EX140" s="81"/>
      <c r="EY140" s="81"/>
      <c r="EZ140" s="81"/>
      <c r="FA140" s="81"/>
      <c r="FB140" s="81"/>
      <c r="FC140" s="81"/>
      <c r="FD140" s="81"/>
      <c r="FE140" s="81"/>
      <c r="FF140" s="81"/>
      <c r="FG140" s="81"/>
      <c r="FH140" s="81"/>
      <c r="FI140" s="81"/>
      <c r="FJ140" s="81"/>
      <c r="FK140" s="81"/>
      <c r="FL140" s="81"/>
      <c r="FM140" s="81"/>
      <c r="FN140" s="81"/>
      <c r="FO140" s="81"/>
      <c r="FP140" s="81"/>
      <c r="FQ140" s="81"/>
      <c r="FR140" s="81"/>
      <c r="FS140" s="81"/>
      <c r="FT140" s="81"/>
      <c r="FU140" s="81"/>
      <c r="FV140" s="81"/>
      <c r="FW140" s="81"/>
      <c r="FX140" s="81"/>
      <c r="FY140" s="81"/>
      <c r="FZ140" s="81"/>
      <c r="GA140" s="81"/>
      <c r="GB140" s="81"/>
      <c r="GC140" s="81"/>
      <c r="GD140" s="81"/>
      <c r="GE140" s="81"/>
      <c r="GF140" s="81"/>
      <c r="GG140" s="81"/>
      <c r="GH140" s="81"/>
      <c r="GI140" s="81"/>
      <c r="GJ140" s="81"/>
      <c r="GK140" s="81"/>
      <c r="GL140" s="81"/>
      <c r="GM140" s="81"/>
      <c r="GN140" s="81"/>
      <c r="GO140" s="81"/>
      <c r="GP140" s="81"/>
      <c r="GQ140" s="81"/>
      <c r="GR140" s="81"/>
      <c r="GS140" s="81"/>
      <c r="GT140" s="81"/>
      <c r="GU140" s="81"/>
      <c r="GV140" s="81"/>
      <c r="GW140" s="81"/>
      <c r="GX140" s="81"/>
      <c r="GY140" s="81"/>
      <c r="GZ140" s="81"/>
      <c r="HA140" s="81"/>
      <c r="HB140" s="81"/>
      <c r="HC140" s="81"/>
      <c r="HD140" s="81"/>
      <c r="HE140" s="81"/>
      <c r="HF140" s="81"/>
      <c r="HG140" s="81"/>
      <c r="HH140" s="81"/>
      <c r="HI140" s="81"/>
      <c r="HJ140" s="81"/>
      <c r="HK140" s="81"/>
      <c r="HL140" s="81"/>
      <c r="HM140" s="81"/>
      <c r="HN140" s="81"/>
      <c r="HO140" s="81"/>
      <c r="HP140" s="81"/>
      <c r="HQ140" s="81"/>
      <c r="HR140" s="81"/>
      <c r="HS140" s="81"/>
      <c r="HT140" s="81"/>
      <c r="HU140" s="81"/>
      <c r="HV140" s="81"/>
      <c r="HW140" s="81"/>
      <c r="HX140" s="81"/>
      <c r="HY140" s="81"/>
      <c r="HZ140" s="81"/>
      <c r="IA140" s="81"/>
      <c r="IB140" s="81"/>
      <c r="IC140" s="81"/>
      <c r="ID140" s="81"/>
      <c r="IE140" s="81"/>
      <c r="IF140" s="81"/>
      <c r="IG140" s="81"/>
      <c r="IH140" s="81"/>
      <c r="II140" s="81"/>
      <c r="IJ140" s="81"/>
    </row>
    <row r="141" spans="1:244" s="84" customFormat="1" ht="25" x14ac:dyDescent="0.25">
      <c r="A141" s="54" t="s">
        <v>207</v>
      </c>
      <c r="B141" s="40" t="s">
        <v>121</v>
      </c>
      <c r="C141" s="41" t="s">
        <v>53</v>
      </c>
      <c r="D141" s="41">
        <f>1</f>
        <v>1</v>
      </c>
      <c r="E141" s="45">
        <v>21.2</v>
      </c>
      <c r="F141" s="41">
        <f t="shared" si="28"/>
        <v>21.2</v>
      </c>
      <c r="G141" s="41" t="s">
        <v>53</v>
      </c>
      <c r="H141" s="41">
        <v>0</v>
      </c>
      <c r="I141" s="41">
        <v>0</v>
      </c>
      <c r="J141" s="41">
        <f t="shared" si="31"/>
        <v>0</v>
      </c>
      <c r="K141" s="41">
        <f>$D141*I141</f>
        <v>0</v>
      </c>
      <c r="L141" s="41">
        <f t="shared" si="29"/>
        <v>0</v>
      </c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1"/>
      <c r="AW141" s="81"/>
      <c r="AX141" s="81"/>
      <c r="AY141" s="81"/>
      <c r="AZ141" s="81"/>
      <c r="BA141" s="81"/>
      <c r="BB141" s="81"/>
      <c r="BC141" s="81"/>
      <c r="BD141" s="81"/>
      <c r="BE141" s="81"/>
      <c r="BF141" s="81"/>
      <c r="BG141" s="81"/>
      <c r="BH141" s="81"/>
      <c r="BI141" s="81"/>
      <c r="BJ141" s="81"/>
      <c r="BK141" s="81"/>
      <c r="BL141" s="81"/>
      <c r="BM141" s="81"/>
      <c r="BN141" s="81"/>
      <c r="BO141" s="81"/>
      <c r="BP141" s="81"/>
      <c r="BQ141" s="81"/>
      <c r="BR141" s="81"/>
      <c r="BS141" s="81"/>
      <c r="BT141" s="81"/>
      <c r="BU141" s="81"/>
      <c r="BV141" s="81"/>
      <c r="BW141" s="81"/>
      <c r="BX141" s="81"/>
      <c r="BY141" s="81"/>
      <c r="BZ141" s="81"/>
      <c r="CA141" s="81"/>
      <c r="CB141" s="81"/>
      <c r="CC141" s="81"/>
      <c r="CD141" s="81"/>
      <c r="CE141" s="81"/>
      <c r="CF141" s="81"/>
      <c r="CG141" s="81"/>
      <c r="CH141" s="81"/>
      <c r="CI141" s="81"/>
      <c r="CJ141" s="81"/>
      <c r="CK141" s="81"/>
      <c r="CL141" s="81"/>
      <c r="CM141" s="81"/>
      <c r="CN141" s="81"/>
      <c r="CO141" s="81"/>
      <c r="CP141" s="81"/>
      <c r="CQ141" s="81"/>
      <c r="CR141" s="81"/>
      <c r="CS141" s="81"/>
      <c r="CT141" s="81"/>
      <c r="CU141" s="81"/>
      <c r="CV141" s="81"/>
      <c r="CW141" s="81"/>
      <c r="CX141" s="81"/>
      <c r="CY141" s="81"/>
      <c r="CZ141" s="81"/>
      <c r="DA141" s="81"/>
      <c r="DB141" s="81"/>
      <c r="DC141" s="81"/>
      <c r="DD141" s="81"/>
      <c r="DE141" s="81"/>
      <c r="DF141" s="81"/>
      <c r="DG141" s="81"/>
      <c r="DH141" s="81"/>
      <c r="DI141" s="81"/>
      <c r="DJ141" s="81"/>
      <c r="DK141" s="81"/>
      <c r="DL141" s="81"/>
      <c r="DM141" s="81"/>
      <c r="DN141" s="81"/>
      <c r="DO141" s="81"/>
      <c r="DP141" s="81"/>
      <c r="DQ141" s="81"/>
      <c r="DR141" s="81"/>
      <c r="DS141" s="81"/>
      <c r="DT141" s="81"/>
      <c r="DU141" s="81"/>
      <c r="DV141" s="81"/>
      <c r="DW141" s="81"/>
      <c r="DX141" s="81"/>
      <c r="DY141" s="81"/>
      <c r="DZ141" s="81"/>
      <c r="EA141" s="81"/>
      <c r="EB141" s="81"/>
      <c r="EC141" s="81"/>
      <c r="ED141" s="81"/>
      <c r="EE141" s="81"/>
      <c r="EF141" s="81"/>
      <c r="EG141" s="81"/>
      <c r="EH141" s="81"/>
      <c r="EI141" s="81"/>
      <c r="EJ141" s="81"/>
      <c r="EK141" s="81"/>
      <c r="EL141" s="81"/>
      <c r="EM141" s="81"/>
      <c r="EN141" s="81"/>
      <c r="EO141" s="81"/>
      <c r="EP141" s="81"/>
      <c r="EQ141" s="81"/>
      <c r="ER141" s="81"/>
      <c r="ES141" s="81"/>
      <c r="ET141" s="81"/>
      <c r="EU141" s="81"/>
      <c r="EV141" s="81"/>
      <c r="EW141" s="81"/>
      <c r="EX141" s="81"/>
      <c r="EY141" s="81"/>
      <c r="EZ141" s="81"/>
      <c r="FA141" s="81"/>
      <c r="FB141" s="81"/>
      <c r="FC141" s="81"/>
      <c r="FD141" s="81"/>
      <c r="FE141" s="81"/>
      <c r="FF141" s="81"/>
      <c r="FG141" s="81"/>
      <c r="FH141" s="81"/>
      <c r="FI141" s="81"/>
      <c r="FJ141" s="81"/>
      <c r="FK141" s="81"/>
      <c r="FL141" s="81"/>
      <c r="FM141" s="81"/>
      <c r="FN141" s="81"/>
      <c r="FO141" s="81"/>
      <c r="FP141" s="81"/>
      <c r="FQ141" s="81"/>
      <c r="FR141" s="81"/>
      <c r="FS141" s="81"/>
      <c r="FT141" s="81"/>
      <c r="FU141" s="81"/>
      <c r="FV141" s="81"/>
      <c r="FW141" s="81"/>
      <c r="FX141" s="81"/>
      <c r="FY141" s="81"/>
      <c r="FZ141" s="81"/>
      <c r="GA141" s="81"/>
      <c r="GB141" s="81"/>
      <c r="GC141" s="81"/>
      <c r="GD141" s="81"/>
      <c r="GE141" s="81"/>
      <c r="GF141" s="81"/>
      <c r="GG141" s="81"/>
      <c r="GH141" s="81"/>
      <c r="GI141" s="81"/>
      <c r="GJ141" s="81"/>
      <c r="GK141" s="81"/>
      <c r="GL141" s="81"/>
      <c r="GM141" s="81"/>
      <c r="GN141" s="81"/>
      <c r="GO141" s="81"/>
      <c r="GP141" s="81"/>
      <c r="GQ141" s="81"/>
      <c r="GR141" s="81"/>
      <c r="GS141" s="81"/>
      <c r="GT141" s="81"/>
      <c r="GU141" s="81"/>
      <c r="GV141" s="81"/>
      <c r="GW141" s="81"/>
      <c r="GX141" s="81"/>
      <c r="GY141" s="81"/>
      <c r="GZ141" s="81"/>
      <c r="HA141" s="81"/>
      <c r="HB141" s="81"/>
      <c r="HC141" s="81"/>
      <c r="HD141" s="81"/>
      <c r="HE141" s="81"/>
      <c r="HF141" s="81"/>
      <c r="HG141" s="81"/>
      <c r="HH141" s="81"/>
      <c r="HI141" s="81"/>
      <c r="HJ141" s="81"/>
      <c r="HK141" s="81"/>
      <c r="HL141" s="81"/>
      <c r="HM141" s="81"/>
      <c r="HN141" s="81"/>
      <c r="HO141" s="81"/>
      <c r="HP141" s="81"/>
      <c r="HQ141" s="81"/>
      <c r="HR141" s="81"/>
      <c r="HS141" s="81"/>
      <c r="HT141" s="81"/>
      <c r="HU141" s="81"/>
      <c r="HV141" s="81"/>
      <c r="HW141" s="81"/>
      <c r="HX141" s="81"/>
      <c r="HY141" s="81"/>
      <c r="HZ141" s="81"/>
      <c r="IA141" s="81"/>
      <c r="IB141" s="81"/>
      <c r="IC141" s="81"/>
      <c r="ID141" s="81"/>
      <c r="IE141" s="81"/>
      <c r="IF141" s="81"/>
      <c r="IG141" s="81"/>
      <c r="IH141" s="81"/>
      <c r="II141" s="81"/>
      <c r="IJ141" s="81"/>
    </row>
    <row r="142" spans="1:244" s="81" customFormat="1" ht="40.5" x14ac:dyDescent="0.25">
      <c r="A142" s="54" t="s">
        <v>208</v>
      </c>
      <c r="B142" s="40" t="s">
        <v>485</v>
      </c>
      <c r="C142" s="41" t="s">
        <v>53</v>
      </c>
      <c r="D142" s="41">
        <f>2</f>
        <v>2</v>
      </c>
      <c r="E142" s="45">
        <v>36</v>
      </c>
      <c r="F142" s="45">
        <f t="shared" si="28"/>
        <v>72</v>
      </c>
      <c r="G142" s="41" t="s">
        <v>53</v>
      </c>
      <c r="H142" s="41">
        <v>0</v>
      </c>
      <c r="I142" s="41">
        <v>0</v>
      </c>
      <c r="J142" s="41">
        <f t="shared" si="31"/>
        <v>0</v>
      </c>
      <c r="K142" s="41">
        <f>$D142*I142</f>
        <v>0</v>
      </c>
      <c r="L142" s="41">
        <f t="shared" si="29"/>
        <v>0</v>
      </c>
    </row>
    <row r="143" spans="1:244" s="43" customFormat="1" ht="28.5" x14ac:dyDescent="0.25">
      <c r="A143" s="54" t="s">
        <v>338</v>
      </c>
      <c r="B143" s="44" t="s">
        <v>486</v>
      </c>
      <c r="C143" s="41" t="s">
        <v>53</v>
      </c>
      <c r="D143" s="41">
        <f>3</f>
        <v>3</v>
      </c>
      <c r="E143" s="45">
        <v>5.2999999999999999E-2</v>
      </c>
      <c r="F143" s="45">
        <f t="shared" si="28"/>
        <v>0.159</v>
      </c>
      <c r="G143" s="41" t="s">
        <v>53</v>
      </c>
      <c r="H143" s="41">
        <v>0</v>
      </c>
      <c r="I143" s="41">
        <v>0</v>
      </c>
      <c r="J143" s="41">
        <f t="shared" si="31"/>
        <v>0</v>
      </c>
      <c r="K143" s="41">
        <f t="shared" si="31"/>
        <v>0</v>
      </c>
      <c r="L143" s="41">
        <f t="shared" si="29"/>
        <v>0</v>
      </c>
    </row>
    <row r="144" spans="1:244" s="43" customFormat="1" ht="16" x14ac:dyDescent="0.25">
      <c r="A144" s="54"/>
      <c r="B144" s="92" t="s">
        <v>339</v>
      </c>
      <c r="C144" s="41" t="s">
        <v>53</v>
      </c>
      <c r="D144" s="41">
        <f>D143</f>
        <v>3</v>
      </c>
      <c r="E144" s="45">
        <v>0.05</v>
      </c>
      <c r="F144" s="45">
        <f t="shared" si="28"/>
        <v>0.15000000000000002</v>
      </c>
      <c r="G144" s="41" t="s">
        <v>53</v>
      </c>
      <c r="H144" s="41">
        <v>0</v>
      </c>
      <c r="I144" s="41">
        <v>0</v>
      </c>
      <c r="J144" s="41">
        <f t="shared" si="31"/>
        <v>0</v>
      </c>
      <c r="K144" s="41">
        <f t="shared" si="31"/>
        <v>0</v>
      </c>
      <c r="L144" s="41">
        <f t="shared" si="29"/>
        <v>0</v>
      </c>
    </row>
    <row r="145" spans="1:244" s="43" customFormat="1" x14ac:dyDescent="0.25">
      <c r="A145" s="54"/>
      <c r="B145" s="56" t="s">
        <v>126</v>
      </c>
      <c r="C145" s="41" t="s">
        <v>53</v>
      </c>
      <c r="D145" s="41">
        <f>CEILING(D143,5)</f>
        <v>5</v>
      </c>
      <c r="E145" s="45">
        <f>0.00062</f>
        <v>6.2E-4</v>
      </c>
      <c r="F145" s="45">
        <f t="shared" si="28"/>
        <v>3.0999999999999999E-3</v>
      </c>
      <c r="G145" s="41" t="s">
        <v>53</v>
      </c>
      <c r="H145" s="41">
        <v>0</v>
      </c>
      <c r="I145" s="41">
        <v>0</v>
      </c>
      <c r="J145" s="41">
        <f t="shared" si="31"/>
        <v>0</v>
      </c>
      <c r="K145" s="41">
        <f t="shared" si="31"/>
        <v>0</v>
      </c>
      <c r="L145" s="41">
        <f t="shared" si="29"/>
        <v>0</v>
      </c>
    </row>
    <row r="146" spans="1:244" s="43" customFormat="1" x14ac:dyDescent="0.25">
      <c r="A146" s="16"/>
      <c r="B146" s="2"/>
      <c r="C146" s="3"/>
      <c r="D146" s="1"/>
      <c r="E146" s="1"/>
      <c r="F146" s="1"/>
      <c r="G146" s="1"/>
      <c r="H146" s="3"/>
      <c r="I146" s="3"/>
      <c r="J146" s="3"/>
      <c r="K146" s="3"/>
      <c r="L146" s="1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  <c r="HN146" s="3"/>
      <c r="HO146" s="3"/>
      <c r="HP146" s="3"/>
      <c r="HQ146" s="3"/>
      <c r="HR146" s="3"/>
      <c r="HS146" s="3"/>
      <c r="HT146" s="3"/>
      <c r="HU146" s="3"/>
      <c r="HV146" s="3"/>
      <c r="HW146" s="3"/>
      <c r="HX146" s="3"/>
      <c r="HY146" s="3"/>
      <c r="HZ146" s="3"/>
      <c r="IA146" s="3"/>
      <c r="IB146" s="3"/>
      <c r="IC146" s="3"/>
      <c r="ID146" s="3"/>
      <c r="IE146" s="3"/>
      <c r="IF146" s="3"/>
      <c r="IG146" s="3"/>
      <c r="IH146" s="3"/>
      <c r="II146" s="3"/>
      <c r="IJ146" s="3"/>
    </row>
    <row r="147" spans="1:244" s="43" customFormat="1" ht="13" x14ac:dyDescent="0.25">
      <c r="A147" s="48"/>
      <c r="B147" s="49" t="s">
        <v>57</v>
      </c>
      <c r="C147" s="41"/>
      <c r="D147" s="1"/>
      <c r="E147" s="50"/>
      <c r="F147" s="50">
        <f>SUM(F118:F146)</f>
        <v>487.31209999999993</v>
      </c>
      <c r="G147" s="50"/>
      <c r="H147" s="50"/>
      <c r="I147" s="50"/>
      <c r="J147" s="50">
        <f>CEILING(SUM(J118:J146),100)</f>
        <v>0</v>
      </c>
      <c r="K147" s="50">
        <f>CEILING(SUM(K118:K146),100)</f>
        <v>0</v>
      </c>
      <c r="L147" s="50">
        <f>J147+K147</f>
        <v>0</v>
      </c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</row>
    <row r="148" spans="1:244" s="43" customFormat="1" x14ac:dyDescent="0.25">
      <c r="A148" s="18"/>
      <c r="B148" s="9"/>
      <c r="C148" s="12"/>
      <c r="D148" s="24"/>
      <c r="E148" s="12"/>
      <c r="F148" s="12"/>
      <c r="G148" s="12"/>
      <c r="H148" s="11"/>
      <c r="I148" s="11"/>
      <c r="J148" s="11"/>
      <c r="K148" s="11"/>
      <c r="L148" s="11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  <c r="HN148" s="3"/>
      <c r="HO148" s="3"/>
      <c r="HP148" s="3"/>
      <c r="HQ148" s="3"/>
      <c r="HR148" s="3"/>
      <c r="HS148" s="3"/>
      <c r="HT148" s="3"/>
      <c r="HU148" s="3"/>
      <c r="HV148" s="3"/>
      <c r="HW148" s="3"/>
      <c r="HX148" s="3"/>
      <c r="HY148" s="3"/>
      <c r="HZ148" s="3"/>
      <c r="IA148" s="3"/>
      <c r="IB148" s="3"/>
      <c r="IC148" s="3"/>
      <c r="ID148" s="3"/>
      <c r="IE148" s="3"/>
      <c r="IF148" s="3"/>
      <c r="IG148" s="3"/>
      <c r="IH148" s="3"/>
      <c r="II148" s="3"/>
      <c r="IJ148" s="3"/>
    </row>
    <row r="149" spans="1:244" s="43" customFormat="1" ht="13" x14ac:dyDescent="0.25">
      <c r="A149" s="95" t="s">
        <v>99</v>
      </c>
      <c r="B149" s="13" t="s">
        <v>330</v>
      </c>
      <c r="C149" s="12"/>
      <c r="D149" s="12"/>
      <c r="E149" s="12"/>
      <c r="F149" s="12"/>
      <c r="G149" s="12"/>
      <c r="H149" s="11"/>
      <c r="I149" s="11"/>
      <c r="J149" s="11"/>
      <c r="K149" s="11"/>
      <c r="L149" s="11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</row>
    <row r="150" spans="1:244" s="43" customFormat="1" ht="28.5" x14ac:dyDescent="0.25">
      <c r="A150" s="54" t="s">
        <v>212</v>
      </c>
      <c r="B150" s="44" t="s">
        <v>488</v>
      </c>
      <c r="C150" s="41" t="s">
        <v>53</v>
      </c>
      <c r="D150" s="41">
        <f>4+1</f>
        <v>5</v>
      </c>
      <c r="E150" s="45">
        <v>0.23</v>
      </c>
      <c r="F150" s="45">
        <f>D150*E150</f>
        <v>1.1500000000000001</v>
      </c>
      <c r="G150" s="41" t="s">
        <v>53</v>
      </c>
      <c r="H150" s="41">
        <v>0</v>
      </c>
      <c r="I150" s="41">
        <v>0</v>
      </c>
      <c r="J150" s="41">
        <f>$D150*H150</f>
        <v>0</v>
      </c>
      <c r="K150" s="41">
        <f>$D150*I150</f>
        <v>0</v>
      </c>
      <c r="L150" s="41">
        <f>J150+K150</f>
        <v>0</v>
      </c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1"/>
      <c r="AD150" s="81"/>
      <c r="AE150" s="81"/>
      <c r="AF150" s="81"/>
      <c r="AG150" s="81"/>
      <c r="AH150" s="81"/>
      <c r="AI150" s="81"/>
      <c r="AJ150" s="81"/>
      <c r="AK150" s="81"/>
      <c r="AL150" s="81"/>
      <c r="AM150" s="81"/>
      <c r="AN150" s="81"/>
      <c r="AO150" s="81"/>
      <c r="AP150" s="81"/>
      <c r="AQ150" s="81"/>
      <c r="AR150" s="81"/>
      <c r="AS150" s="81"/>
      <c r="AT150" s="81"/>
      <c r="AU150" s="81"/>
      <c r="AV150" s="81"/>
      <c r="AW150" s="81"/>
      <c r="AX150" s="81"/>
      <c r="AY150" s="81"/>
      <c r="AZ150" s="81"/>
      <c r="BA150" s="81"/>
      <c r="BB150" s="81"/>
      <c r="BC150" s="81"/>
      <c r="BD150" s="81"/>
      <c r="BE150" s="81"/>
      <c r="BF150" s="81"/>
      <c r="BG150" s="81"/>
      <c r="BH150" s="81"/>
      <c r="BI150" s="81"/>
      <c r="BJ150" s="81"/>
      <c r="BK150" s="81"/>
      <c r="BL150" s="81"/>
      <c r="BM150" s="81"/>
      <c r="BN150" s="81"/>
      <c r="BO150" s="81"/>
      <c r="BP150" s="81"/>
      <c r="BQ150" s="81"/>
      <c r="BR150" s="81"/>
      <c r="BS150" s="81"/>
      <c r="BT150" s="81"/>
      <c r="BU150" s="81"/>
      <c r="BV150" s="81"/>
      <c r="BW150" s="81"/>
      <c r="BX150" s="81"/>
      <c r="BY150" s="81"/>
      <c r="BZ150" s="81"/>
      <c r="CA150" s="81"/>
      <c r="CB150" s="81"/>
      <c r="CC150" s="81"/>
      <c r="CD150" s="81"/>
      <c r="CE150" s="81"/>
      <c r="CF150" s="81"/>
      <c r="CG150" s="81"/>
      <c r="CH150" s="81"/>
      <c r="CI150" s="81"/>
      <c r="CJ150" s="81"/>
      <c r="CK150" s="81"/>
      <c r="CL150" s="81"/>
      <c r="CM150" s="81"/>
      <c r="CN150" s="81"/>
      <c r="CO150" s="81"/>
      <c r="CP150" s="81"/>
      <c r="CQ150" s="81"/>
      <c r="CR150" s="81"/>
      <c r="CS150" s="81"/>
      <c r="CT150" s="81"/>
      <c r="CU150" s="81"/>
      <c r="CV150" s="81"/>
      <c r="CW150" s="81"/>
      <c r="CX150" s="81"/>
      <c r="CY150" s="81"/>
      <c r="CZ150" s="81"/>
      <c r="DA150" s="81"/>
      <c r="DB150" s="81"/>
      <c r="DC150" s="81"/>
      <c r="DD150" s="81"/>
      <c r="DE150" s="81"/>
      <c r="DF150" s="81"/>
      <c r="DG150" s="81"/>
      <c r="DH150" s="81"/>
      <c r="DI150" s="81"/>
      <c r="DJ150" s="81"/>
      <c r="DK150" s="81"/>
      <c r="DL150" s="81"/>
      <c r="DM150" s="81"/>
      <c r="DN150" s="81"/>
      <c r="DO150" s="81"/>
      <c r="DP150" s="81"/>
      <c r="DQ150" s="81"/>
      <c r="DR150" s="81"/>
      <c r="DS150" s="81"/>
      <c r="DT150" s="81"/>
      <c r="DU150" s="81"/>
      <c r="DV150" s="81"/>
      <c r="DW150" s="81"/>
      <c r="DX150" s="81"/>
      <c r="DY150" s="81"/>
      <c r="DZ150" s="81"/>
      <c r="EA150" s="81"/>
      <c r="EB150" s="81"/>
      <c r="EC150" s="81"/>
      <c r="ED150" s="81"/>
      <c r="EE150" s="81"/>
      <c r="EF150" s="81"/>
      <c r="EG150" s="81"/>
      <c r="EH150" s="81"/>
      <c r="EI150" s="81"/>
      <c r="EJ150" s="81"/>
      <c r="EK150" s="81"/>
      <c r="EL150" s="81"/>
      <c r="EM150" s="81"/>
      <c r="EN150" s="81"/>
      <c r="EO150" s="81"/>
      <c r="EP150" s="81"/>
      <c r="EQ150" s="81"/>
      <c r="ER150" s="81"/>
      <c r="ES150" s="81"/>
      <c r="ET150" s="81"/>
      <c r="EU150" s="81"/>
      <c r="EV150" s="81"/>
      <c r="EW150" s="81"/>
      <c r="EX150" s="81"/>
      <c r="EY150" s="81"/>
      <c r="EZ150" s="81"/>
      <c r="FA150" s="81"/>
      <c r="FB150" s="81"/>
      <c r="FC150" s="81"/>
      <c r="FD150" s="81"/>
      <c r="FE150" s="81"/>
      <c r="FF150" s="81"/>
      <c r="FG150" s="81"/>
      <c r="FH150" s="81"/>
      <c r="FI150" s="81"/>
      <c r="FJ150" s="81"/>
      <c r="FK150" s="81"/>
      <c r="FL150" s="81"/>
      <c r="FM150" s="81"/>
      <c r="FN150" s="81"/>
      <c r="FO150" s="81"/>
      <c r="FP150" s="81"/>
      <c r="FQ150" s="81"/>
      <c r="FR150" s="81"/>
      <c r="FS150" s="81"/>
      <c r="FT150" s="81"/>
      <c r="FU150" s="81"/>
      <c r="FV150" s="81"/>
      <c r="FW150" s="81"/>
      <c r="FX150" s="81"/>
      <c r="FY150" s="81"/>
      <c r="FZ150" s="81"/>
      <c r="GA150" s="81"/>
      <c r="GB150" s="81"/>
      <c r="GC150" s="81"/>
      <c r="GD150" s="81"/>
      <c r="GE150" s="81"/>
      <c r="GF150" s="81"/>
      <c r="GG150" s="81"/>
      <c r="GH150" s="81"/>
      <c r="GI150" s="81"/>
      <c r="GJ150" s="81"/>
      <c r="GK150" s="81"/>
      <c r="GL150" s="81"/>
      <c r="GM150" s="81"/>
      <c r="GN150" s="81"/>
      <c r="GO150" s="81"/>
      <c r="GP150" s="81"/>
      <c r="GQ150" s="81"/>
      <c r="GR150" s="81"/>
      <c r="GS150" s="81"/>
      <c r="GT150" s="81"/>
      <c r="GU150" s="81"/>
      <c r="GV150" s="81"/>
      <c r="GW150" s="81"/>
      <c r="GX150" s="81"/>
      <c r="GY150" s="81"/>
      <c r="GZ150" s="81"/>
      <c r="HA150" s="81"/>
      <c r="HB150" s="81"/>
      <c r="HC150" s="81"/>
      <c r="HD150" s="81"/>
      <c r="HE150" s="81"/>
      <c r="HF150" s="81"/>
      <c r="HG150" s="81"/>
      <c r="HH150" s="81"/>
      <c r="HI150" s="81"/>
      <c r="HJ150" s="81"/>
      <c r="HK150" s="81"/>
      <c r="HL150" s="81"/>
      <c r="HM150" s="81"/>
      <c r="HN150" s="81"/>
      <c r="HO150" s="81"/>
      <c r="HP150" s="81"/>
      <c r="HQ150" s="81"/>
      <c r="HR150" s="81"/>
      <c r="HS150" s="81"/>
      <c r="HT150" s="81"/>
      <c r="HU150" s="81"/>
      <c r="HV150" s="81"/>
      <c r="HW150" s="81"/>
      <c r="HX150" s="81"/>
      <c r="HY150" s="81"/>
      <c r="HZ150" s="81"/>
      <c r="IA150" s="81"/>
      <c r="IB150" s="81"/>
      <c r="IC150" s="81"/>
      <c r="ID150" s="81"/>
      <c r="IE150" s="81"/>
      <c r="IF150" s="81"/>
      <c r="IG150" s="81"/>
      <c r="IH150" s="81"/>
      <c r="II150" s="81"/>
      <c r="IJ150" s="81"/>
    </row>
    <row r="151" spans="1:244" s="43" customFormat="1" ht="28.5" x14ac:dyDescent="0.25">
      <c r="A151" s="54" t="s">
        <v>213</v>
      </c>
      <c r="B151" s="44" t="s">
        <v>489</v>
      </c>
      <c r="C151" s="41" t="s">
        <v>53</v>
      </c>
      <c r="D151" s="41">
        <f>7+1+1+1</f>
        <v>10</v>
      </c>
      <c r="E151" s="45">
        <f>0.28</f>
        <v>0.28000000000000003</v>
      </c>
      <c r="F151" s="45">
        <f t="shared" ref="F151:F158" si="32">D151*E151</f>
        <v>2.8000000000000003</v>
      </c>
      <c r="G151" s="41" t="s">
        <v>53</v>
      </c>
      <c r="H151" s="41">
        <v>0</v>
      </c>
      <c r="I151" s="41">
        <v>0</v>
      </c>
      <c r="J151" s="41">
        <f t="shared" ref="J151:K158" si="33">$D151*H151</f>
        <v>0</v>
      </c>
      <c r="K151" s="41">
        <f t="shared" si="33"/>
        <v>0</v>
      </c>
      <c r="L151" s="41">
        <f t="shared" ref="L151:L158" si="34">J151+K151</f>
        <v>0</v>
      </c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81"/>
      <c r="AD151" s="81"/>
      <c r="AE151" s="81"/>
      <c r="AF151" s="81"/>
      <c r="AG151" s="81"/>
      <c r="AH151" s="81"/>
      <c r="AI151" s="81"/>
      <c r="AJ151" s="81"/>
      <c r="AK151" s="81"/>
      <c r="AL151" s="81"/>
      <c r="AM151" s="81"/>
      <c r="AN151" s="81"/>
      <c r="AO151" s="81"/>
      <c r="AP151" s="81"/>
      <c r="AQ151" s="81"/>
      <c r="AR151" s="81"/>
      <c r="AS151" s="81"/>
      <c r="AT151" s="81"/>
      <c r="AU151" s="81"/>
      <c r="AV151" s="81"/>
      <c r="AW151" s="81"/>
      <c r="AX151" s="81"/>
      <c r="AY151" s="81"/>
      <c r="AZ151" s="81"/>
      <c r="BA151" s="81"/>
      <c r="BB151" s="81"/>
      <c r="BC151" s="81"/>
      <c r="BD151" s="81"/>
      <c r="BE151" s="81"/>
      <c r="BF151" s="81"/>
      <c r="BG151" s="81"/>
      <c r="BH151" s="81"/>
      <c r="BI151" s="81"/>
      <c r="BJ151" s="81"/>
      <c r="BK151" s="81"/>
      <c r="BL151" s="81"/>
      <c r="BM151" s="81"/>
      <c r="BN151" s="81"/>
      <c r="BO151" s="81"/>
      <c r="BP151" s="81"/>
      <c r="BQ151" s="81"/>
      <c r="BR151" s="81"/>
      <c r="BS151" s="81"/>
      <c r="BT151" s="81"/>
      <c r="BU151" s="81"/>
      <c r="BV151" s="81"/>
      <c r="BW151" s="81"/>
      <c r="BX151" s="81"/>
      <c r="BY151" s="81"/>
      <c r="BZ151" s="81"/>
      <c r="CA151" s="81"/>
      <c r="CB151" s="81"/>
      <c r="CC151" s="81"/>
      <c r="CD151" s="81"/>
      <c r="CE151" s="81"/>
      <c r="CF151" s="81"/>
      <c r="CG151" s="81"/>
      <c r="CH151" s="81"/>
      <c r="CI151" s="81"/>
      <c r="CJ151" s="81"/>
      <c r="CK151" s="81"/>
      <c r="CL151" s="81"/>
      <c r="CM151" s="81"/>
      <c r="CN151" s="81"/>
      <c r="CO151" s="81"/>
      <c r="CP151" s="81"/>
      <c r="CQ151" s="81"/>
      <c r="CR151" s="81"/>
      <c r="CS151" s="81"/>
      <c r="CT151" s="81"/>
      <c r="CU151" s="81"/>
      <c r="CV151" s="81"/>
      <c r="CW151" s="81"/>
      <c r="CX151" s="81"/>
      <c r="CY151" s="81"/>
      <c r="CZ151" s="81"/>
      <c r="DA151" s="81"/>
      <c r="DB151" s="81"/>
      <c r="DC151" s="81"/>
      <c r="DD151" s="81"/>
      <c r="DE151" s="81"/>
      <c r="DF151" s="81"/>
      <c r="DG151" s="81"/>
      <c r="DH151" s="81"/>
      <c r="DI151" s="81"/>
      <c r="DJ151" s="81"/>
      <c r="DK151" s="81"/>
      <c r="DL151" s="81"/>
      <c r="DM151" s="81"/>
      <c r="DN151" s="81"/>
      <c r="DO151" s="81"/>
      <c r="DP151" s="81"/>
      <c r="DQ151" s="81"/>
      <c r="DR151" s="81"/>
      <c r="DS151" s="81"/>
      <c r="DT151" s="81"/>
      <c r="DU151" s="81"/>
      <c r="DV151" s="81"/>
      <c r="DW151" s="81"/>
      <c r="DX151" s="81"/>
      <c r="DY151" s="81"/>
      <c r="DZ151" s="81"/>
      <c r="EA151" s="81"/>
      <c r="EB151" s="81"/>
      <c r="EC151" s="81"/>
      <c r="ED151" s="81"/>
      <c r="EE151" s="81"/>
      <c r="EF151" s="81"/>
      <c r="EG151" s="81"/>
      <c r="EH151" s="81"/>
      <c r="EI151" s="81"/>
      <c r="EJ151" s="81"/>
      <c r="EK151" s="81"/>
      <c r="EL151" s="81"/>
      <c r="EM151" s="81"/>
      <c r="EN151" s="81"/>
      <c r="EO151" s="81"/>
      <c r="EP151" s="81"/>
      <c r="EQ151" s="81"/>
      <c r="ER151" s="81"/>
      <c r="ES151" s="81"/>
      <c r="ET151" s="81"/>
      <c r="EU151" s="81"/>
      <c r="EV151" s="81"/>
      <c r="EW151" s="81"/>
      <c r="EX151" s="81"/>
      <c r="EY151" s="81"/>
      <c r="EZ151" s="81"/>
      <c r="FA151" s="81"/>
      <c r="FB151" s="81"/>
      <c r="FC151" s="81"/>
      <c r="FD151" s="81"/>
      <c r="FE151" s="81"/>
      <c r="FF151" s="81"/>
      <c r="FG151" s="81"/>
      <c r="FH151" s="81"/>
      <c r="FI151" s="81"/>
      <c r="FJ151" s="81"/>
      <c r="FK151" s="81"/>
      <c r="FL151" s="81"/>
      <c r="FM151" s="81"/>
      <c r="FN151" s="81"/>
      <c r="FO151" s="81"/>
      <c r="FP151" s="81"/>
      <c r="FQ151" s="81"/>
      <c r="FR151" s="81"/>
      <c r="FS151" s="81"/>
      <c r="FT151" s="81"/>
      <c r="FU151" s="81"/>
      <c r="FV151" s="81"/>
      <c r="FW151" s="81"/>
      <c r="FX151" s="81"/>
      <c r="FY151" s="81"/>
      <c r="FZ151" s="81"/>
      <c r="GA151" s="81"/>
      <c r="GB151" s="81"/>
      <c r="GC151" s="81"/>
      <c r="GD151" s="81"/>
      <c r="GE151" s="81"/>
      <c r="GF151" s="81"/>
      <c r="GG151" s="81"/>
      <c r="GH151" s="81"/>
      <c r="GI151" s="81"/>
      <c r="GJ151" s="81"/>
      <c r="GK151" s="81"/>
      <c r="GL151" s="81"/>
      <c r="GM151" s="81"/>
      <c r="GN151" s="81"/>
      <c r="GO151" s="81"/>
      <c r="GP151" s="81"/>
      <c r="GQ151" s="81"/>
      <c r="GR151" s="81"/>
      <c r="GS151" s="81"/>
      <c r="GT151" s="81"/>
      <c r="GU151" s="81"/>
      <c r="GV151" s="81"/>
      <c r="GW151" s="81"/>
      <c r="GX151" s="81"/>
      <c r="GY151" s="81"/>
      <c r="GZ151" s="81"/>
      <c r="HA151" s="81"/>
      <c r="HB151" s="81"/>
      <c r="HC151" s="81"/>
      <c r="HD151" s="81"/>
      <c r="HE151" s="81"/>
      <c r="HF151" s="81"/>
      <c r="HG151" s="81"/>
      <c r="HH151" s="81"/>
      <c r="HI151" s="81"/>
      <c r="HJ151" s="81"/>
      <c r="HK151" s="81"/>
      <c r="HL151" s="81"/>
      <c r="HM151" s="81"/>
      <c r="HN151" s="81"/>
      <c r="HO151" s="81"/>
      <c r="HP151" s="81"/>
      <c r="HQ151" s="81"/>
      <c r="HR151" s="81"/>
      <c r="HS151" s="81"/>
      <c r="HT151" s="81"/>
      <c r="HU151" s="81"/>
      <c r="HV151" s="81"/>
      <c r="HW151" s="81"/>
      <c r="HX151" s="81"/>
      <c r="HY151" s="81"/>
      <c r="HZ151" s="81"/>
      <c r="IA151" s="81"/>
      <c r="IB151" s="81"/>
      <c r="IC151" s="81"/>
      <c r="ID151" s="81"/>
      <c r="IE151" s="81"/>
      <c r="IF151" s="81"/>
      <c r="IG151" s="81"/>
      <c r="IH151" s="81"/>
      <c r="II151" s="81"/>
      <c r="IJ151" s="81"/>
    </row>
    <row r="152" spans="1:244" s="81" customFormat="1" ht="25" x14ac:dyDescent="0.25">
      <c r="A152" s="54" t="s">
        <v>211</v>
      </c>
      <c r="B152" s="44" t="s">
        <v>490</v>
      </c>
      <c r="C152" s="41" t="s">
        <v>53</v>
      </c>
      <c r="D152" s="41">
        <f>8+5-1</f>
        <v>12</v>
      </c>
      <c r="E152" s="45">
        <f>0.68</f>
        <v>0.68</v>
      </c>
      <c r="F152" s="45">
        <f t="shared" si="32"/>
        <v>8.16</v>
      </c>
      <c r="G152" s="41" t="s">
        <v>53</v>
      </c>
      <c r="H152" s="41">
        <v>0</v>
      </c>
      <c r="I152" s="41">
        <v>0</v>
      </c>
      <c r="J152" s="41">
        <f t="shared" si="33"/>
        <v>0</v>
      </c>
      <c r="K152" s="41">
        <f t="shared" si="33"/>
        <v>0</v>
      </c>
      <c r="L152" s="41">
        <f t="shared" si="34"/>
        <v>0</v>
      </c>
    </row>
    <row r="153" spans="1:244" s="81" customFormat="1" ht="28.5" x14ac:dyDescent="0.25">
      <c r="A153" s="54" t="s">
        <v>214</v>
      </c>
      <c r="B153" s="44" t="s">
        <v>491</v>
      </c>
      <c r="C153" s="41" t="s">
        <v>53</v>
      </c>
      <c r="D153" s="41">
        <f>8+2</f>
        <v>10</v>
      </c>
      <c r="E153" s="45">
        <f>1.06</f>
        <v>1.06</v>
      </c>
      <c r="F153" s="45">
        <f t="shared" si="32"/>
        <v>10.600000000000001</v>
      </c>
      <c r="G153" s="41" t="s">
        <v>53</v>
      </c>
      <c r="H153" s="41">
        <v>0</v>
      </c>
      <c r="I153" s="41">
        <v>0</v>
      </c>
      <c r="J153" s="41">
        <f t="shared" si="33"/>
        <v>0</v>
      </c>
      <c r="K153" s="41">
        <f t="shared" si="33"/>
        <v>0</v>
      </c>
      <c r="L153" s="41">
        <f t="shared" si="34"/>
        <v>0</v>
      </c>
    </row>
    <row r="154" spans="1:244" s="81" customFormat="1" ht="25" x14ac:dyDescent="0.25">
      <c r="A154" s="54" t="s">
        <v>337</v>
      </c>
      <c r="B154" s="44" t="s">
        <v>492</v>
      </c>
      <c r="C154" s="41" t="s">
        <v>53</v>
      </c>
      <c r="D154" s="41">
        <f>2</f>
        <v>2</v>
      </c>
      <c r="E154" s="45">
        <f>2.52</f>
        <v>2.52</v>
      </c>
      <c r="F154" s="45">
        <f t="shared" si="32"/>
        <v>5.04</v>
      </c>
      <c r="G154" s="41" t="s">
        <v>53</v>
      </c>
      <c r="H154" s="41">
        <v>0</v>
      </c>
      <c r="I154" s="41">
        <v>0</v>
      </c>
      <c r="J154" s="41">
        <f t="shared" si="33"/>
        <v>0</v>
      </c>
      <c r="K154" s="41">
        <f t="shared" si="33"/>
        <v>0</v>
      </c>
      <c r="L154" s="41">
        <f t="shared" si="34"/>
        <v>0</v>
      </c>
    </row>
    <row r="155" spans="1:244" s="43" customFormat="1" ht="25" x14ac:dyDescent="0.25">
      <c r="A155" s="87" t="s">
        <v>355</v>
      </c>
      <c r="B155" s="44" t="s">
        <v>493</v>
      </c>
      <c r="C155" s="41" t="s">
        <v>53</v>
      </c>
      <c r="D155" s="41">
        <f>4</f>
        <v>4</v>
      </c>
      <c r="E155" s="45">
        <v>1.4</v>
      </c>
      <c r="F155" s="45">
        <f t="shared" si="32"/>
        <v>5.6</v>
      </c>
      <c r="G155" s="41" t="s">
        <v>53</v>
      </c>
      <c r="H155" s="41">
        <v>0</v>
      </c>
      <c r="I155" s="41">
        <v>0</v>
      </c>
      <c r="J155" s="41">
        <f t="shared" si="33"/>
        <v>0</v>
      </c>
      <c r="K155" s="41">
        <f t="shared" si="33"/>
        <v>0</v>
      </c>
      <c r="L155" s="41">
        <f t="shared" si="34"/>
        <v>0</v>
      </c>
    </row>
    <row r="156" spans="1:244" s="81" customFormat="1" ht="25" x14ac:dyDescent="0.25">
      <c r="A156" s="87" t="s">
        <v>217</v>
      </c>
      <c r="B156" s="44" t="s">
        <v>494</v>
      </c>
      <c r="C156" s="41" t="s">
        <v>53</v>
      </c>
      <c r="D156" s="41">
        <f>2</f>
        <v>2</v>
      </c>
      <c r="E156" s="45">
        <v>1.7</v>
      </c>
      <c r="F156" s="45">
        <f t="shared" si="32"/>
        <v>3.4</v>
      </c>
      <c r="G156" s="41" t="s">
        <v>53</v>
      </c>
      <c r="H156" s="41">
        <v>0</v>
      </c>
      <c r="I156" s="41">
        <v>0</v>
      </c>
      <c r="J156" s="41">
        <f t="shared" si="33"/>
        <v>0</v>
      </c>
      <c r="K156" s="41">
        <f t="shared" si="33"/>
        <v>0</v>
      </c>
      <c r="L156" s="41">
        <f t="shared" si="34"/>
        <v>0</v>
      </c>
    </row>
    <row r="157" spans="1:244" s="43" customFormat="1" ht="28.5" x14ac:dyDescent="0.25">
      <c r="A157" s="87" t="s">
        <v>210</v>
      </c>
      <c r="B157" s="44" t="s">
        <v>487</v>
      </c>
      <c r="C157" s="41" t="s">
        <v>53</v>
      </c>
      <c r="D157" s="41">
        <f>1</f>
        <v>1</v>
      </c>
      <c r="E157" s="45">
        <v>0.28000000000000003</v>
      </c>
      <c r="F157" s="41">
        <f t="shared" si="32"/>
        <v>0.28000000000000003</v>
      </c>
      <c r="G157" s="41" t="s">
        <v>53</v>
      </c>
      <c r="H157" s="41">
        <v>0</v>
      </c>
      <c r="I157" s="41">
        <v>0</v>
      </c>
      <c r="J157" s="41">
        <f t="shared" si="33"/>
        <v>0</v>
      </c>
      <c r="K157" s="41">
        <f t="shared" si="33"/>
        <v>0</v>
      </c>
      <c r="L157" s="41">
        <f t="shared" si="34"/>
        <v>0</v>
      </c>
    </row>
    <row r="158" spans="1:244" s="43" customFormat="1" ht="25" x14ac:dyDescent="0.25">
      <c r="A158" s="87"/>
      <c r="B158" s="40" t="s">
        <v>367</v>
      </c>
      <c r="C158" s="41" t="s">
        <v>53</v>
      </c>
      <c r="D158" s="41">
        <f>D157</f>
        <v>1</v>
      </c>
      <c r="E158" s="45">
        <v>0.1</v>
      </c>
      <c r="F158" s="45">
        <f t="shared" si="32"/>
        <v>0.1</v>
      </c>
      <c r="G158" s="41" t="s">
        <v>53</v>
      </c>
      <c r="H158" s="41">
        <v>0</v>
      </c>
      <c r="I158" s="41">
        <v>0</v>
      </c>
      <c r="J158" s="41">
        <f t="shared" si="33"/>
        <v>0</v>
      </c>
      <c r="K158" s="41">
        <f t="shared" si="33"/>
        <v>0</v>
      </c>
      <c r="L158" s="41">
        <f t="shared" si="34"/>
        <v>0</v>
      </c>
    </row>
    <row r="159" spans="1:244" s="43" customFormat="1" ht="28.5" x14ac:dyDescent="0.25">
      <c r="A159" s="87" t="s">
        <v>210</v>
      </c>
      <c r="B159" s="44" t="s">
        <v>495</v>
      </c>
      <c r="C159" s="41" t="s">
        <v>53</v>
      </c>
      <c r="D159" s="41">
        <f>1</f>
        <v>1</v>
      </c>
      <c r="E159" s="45">
        <v>0.36</v>
      </c>
      <c r="F159" s="45">
        <f t="shared" ref="F159:F164" si="35">D159*E159</f>
        <v>0.36</v>
      </c>
      <c r="G159" s="41" t="s">
        <v>53</v>
      </c>
      <c r="H159" s="41">
        <v>0</v>
      </c>
      <c r="I159" s="41">
        <v>0</v>
      </c>
      <c r="J159" s="41">
        <f t="shared" ref="J159:K164" si="36">$D159*H159</f>
        <v>0</v>
      </c>
      <c r="K159" s="41">
        <f t="shared" si="36"/>
        <v>0</v>
      </c>
      <c r="L159" s="41">
        <f t="shared" ref="L159:L164" si="37">J159+K159</f>
        <v>0</v>
      </c>
    </row>
    <row r="160" spans="1:244" s="81" customFormat="1" ht="25" x14ac:dyDescent="0.25">
      <c r="A160" s="87"/>
      <c r="B160" s="40" t="s">
        <v>209</v>
      </c>
      <c r="C160" s="41" t="s">
        <v>53</v>
      </c>
      <c r="D160" s="41">
        <f>D159</f>
        <v>1</v>
      </c>
      <c r="E160" s="45">
        <v>0.16</v>
      </c>
      <c r="F160" s="45">
        <f t="shared" si="35"/>
        <v>0.16</v>
      </c>
      <c r="G160" s="41" t="s">
        <v>53</v>
      </c>
      <c r="H160" s="41">
        <v>0</v>
      </c>
      <c r="I160" s="41">
        <v>0</v>
      </c>
      <c r="J160" s="41">
        <f t="shared" si="36"/>
        <v>0</v>
      </c>
      <c r="K160" s="41">
        <f t="shared" si="36"/>
        <v>0</v>
      </c>
      <c r="L160" s="41">
        <f t="shared" si="37"/>
        <v>0</v>
      </c>
    </row>
    <row r="161" spans="1:244" s="81" customFormat="1" ht="28.5" x14ac:dyDescent="0.25">
      <c r="A161" s="100" t="s">
        <v>369</v>
      </c>
      <c r="B161" s="44" t="s">
        <v>496</v>
      </c>
      <c r="C161" s="41" t="s">
        <v>53</v>
      </c>
      <c r="D161" s="41">
        <f>1</f>
        <v>1</v>
      </c>
      <c r="E161" s="45">
        <f>1.06</f>
        <v>1.06</v>
      </c>
      <c r="F161" s="45">
        <f>D161*E161</f>
        <v>1.06</v>
      </c>
      <c r="G161" s="41" t="s">
        <v>53</v>
      </c>
      <c r="H161" s="41">
        <v>0</v>
      </c>
      <c r="I161" s="41">
        <v>0</v>
      </c>
      <c r="J161" s="41">
        <f t="shared" si="36"/>
        <v>0</v>
      </c>
      <c r="K161" s="41">
        <f t="shared" si="36"/>
        <v>0</v>
      </c>
      <c r="L161" s="41">
        <f>J161+K161</f>
        <v>0</v>
      </c>
    </row>
    <row r="162" spans="1:244" s="81" customFormat="1" ht="28.5" x14ac:dyDescent="0.25">
      <c r="A162" s="54"/>
      <c r="B162" s="44" t="s">
        <v>216</v>
      </c>
      <c r="C162" s="41" t="s">
        <v>53</v>
      </c>
      <c r="D162" s="41">
        <f>D161</f>
        <v>1</v>
      </c>
      <c r="E162" s="45">
        <v>0.25</v>
      </c>
      <c r="F162" s="45">
        <f>D162*E162</f>
        <v>0.25</v>
      </c>
      <c r="G162" s="41" t="s">
        <v>53</v>
      </c>
      <c r="H162" s="41">
        <v>0</v>
      </c>
      <c r="I162" s="41">
        <v>0</v>
      </c>
      <c r="J162" s="41">
        <f t="shared" si="36"/>
        <v>0</v>
      </c>
      <c r="K162" s="41">
        <f t="shared" si="36"/>
        <v>0</v>
      </c>
      <c r="L162" s="41">
        <f>J162+K162</f>
        <v>0</v>
      </c>
    </row>
    <row r="163" spans="1:244" s="43" customFormat="1" ht="25" x14ac:dyDescent="0.25">
      <c r="A163" s="87" t="s">
        <v>368</v>
      </c>
      <c r="B163" s="44" t="s">
        <v>497</v>
      </c>
      <c r="C163" s="41" t="s">
        <v>53</v>
      </c>
      <c r="D163" s="41">
        <f>1</f>
        <v>1</v>
      </c>
      <c r="E163" s="45">
        <v>0.68</v>
      </c>
      <c r="F163" s="45">
        <f t="shared" si="35"/>
        <v>0.68</v>
      </c>
      <c r="G163" s="41" t="s">
        <v>53</v>
      </c>
      <c r="H163" s="41">
        <v>0</v>
      </c>
      <c r="I163" s="41">
        <v>0</v>
      </c>
      <c r="J163" s="41">
        <f t="shared" si="36"/>
        <v>0</v>
      </c>
      <c r="K163" s="41">
        <f t="shared" si="36"/>
        <v>0</v>
      </c>
      <c r="L163" s="41">
        <f t="shared" si="37"/>
        <v>0</v>
      </c>
    </row>
    <row r="164" spans="1:244" s="43" customFormat="1" ht="25" x14ac:dyDescent="0.25">
      <c r="A164" s="87"/>
      <c r="B164" s="44" t="s">
        <v>209</v>
      </c>
      <c r="C164" s="41" t="s">
        <v>53</v>
      </c>
      <c r="D164" s="41">
        <f>D163</f>
        <v>1</v>
      </c>
      <c r="E164" s="45">
        <v>0.16</v>
      </c>
      <c r="F164" s="45">
        <f t="shared" si="35"/>
        <v>0.16</v>
      </c>
      <c r="G164" s="41" t="s">
        <v>53</v>
      </c>
      <c r="H164" s="41">
        <v>0</v>
      </c>
      <c r="I164" s="41">
        <v>0</v>
      </c>
      <c r="J164" s="41">
        <f t="shared" si="36"/>
        <v>0</v>
      </c>
      <c r="K164" s="41">
        <f t="shared" si="36"/>
        <v>0</v>
      </c>
      <c r="L164" s="41">
        <f t="shared" si="37"/>
        <v>0</v>
      </c>
    </row>
    <row r="165" spans="1:244" s="81" customFormat="1" ht="28.5" x14ac:dyDescent="0.25">
      <c r="A165" s="100" t="s">
        <v>215</v>
      </c>
      <c r="B165" s="44" t="s">
        <v>498</v>
      </c>
      <c r="C165" s="41" t="s">
        <v>53</v>
      </c>
      <c r="D165" s="41">
        <f>2+1</f>
        <v>3</v>
      </c>
      <c r="E165" s="45">
        <f>1.06</f>
        <v>1.06</v>
      </c>
      <c r="F165" s="45">
        <f>D165*E165</f>
        <v>3.18</v>
      </c>
      <c r="G165" s="41" t="s">
        <v>53</v>
      </c>
      <c r="H165" s="41">
        <v>0</v>
      </c>
      <c r="I165" s="41">
        <v>0</v>
      </c>
      <c r="J165" s="41">
        <f>$D165*H165</f>
        <v>0</v>
      </c>
      <c r="K165" s="41">
        <f>$D165*I165</f>
        <v>0</v>
      </c>
      <c r="L165" s="41">
        <f>J165+K165</f>
        <v>0</v>
      </c>
    </row>
    <row r="166" spans="1:244" s="81" customFormat="1" ht="28.5" x14ac:dyDescent="0.25">
      <c r="A166" s="54"/>
      <c r="B166" s="44" t="s">
        <v>216</v>
      </c>
      <c r="C166" s="41" t="s">
        <v>53</v>
      </c>
      <c r="D166" s="41">
        <f>D165</f>
        <v>3</v>
      </c>
      <c r="E166" s="45">
        <v>0.25</v>
      </c>
      <c r="F166" s="45">
        <f>D166*E166</f>
        <v>0.75</v>
      </c>
      <c r="G166" s="41" t="s">
        <v>53</v>
      </c>
      <c r="H166" s="41">
        <v>0</v>
      </c>
      <c r="I166" s="41">
        <v>0</v>
      </c>
      <c r="J166" s="41">
        <f>$D166*H166</f>
        <v>0</v>
      </c>
      <c r="K166" s="41">
        <f>$D166*I166</f>
        <v>0</v>
      </c>
      <c r="L166" s="41">
        <f>J166+K166</f>
        <v>0</v>
      </c>
    </row>
    <row r="167" spans="1:244" s="81" customFormat="1" ht="28.5" x14ac:dyDescent="0.25">
      <c r="A167" s="54" t="s">
        <v>218</v>
      </c>
      <c r="B167" s="44" t="s">
        <v>219</v>
      </c>
      <c r="C167" s="41" t="s">
        <v>53</v>
      </c>
      <c r="D167" s="42">
        <f>1</f>
        <v>1</v>
      </c>
      <c r="E167" s="45">
        <v>0.8</v>
      </c>
      <c r="F167" s="45">
        <f>D167*E167</f>
        <v>0.8</v>
      </c>
      <c r="G167" s="41" t="s">
        <v>53</v>
      </c>
      <c r="H167" s="41">
        <v>0</v>
      </c>
      <c r="I167" s="41">
        <v>0</v>
      </c>
      <c r="J167" s="41">
        <f t="shared" ref="J167:K167" si="38">$D167*H167</f>
        <v>0</v>
      </c>
      <c r="K167" s="41">
        <f t="shared" si="38"/>
        <v>0</v>
      </c>
      <c r="L167" s="41">
        <f>J167+K167</f>
        <v>0</v>
      </c>
    </row>
    <row r="168" spans="1:244" s="43" customFormat="1" x14ac:dyDescent="0.25">
      <c r="A168" s="16"/>
      <c r="B168" s="2"/>
      <c r="C168" s="3"/>
      <c r="D168" s="1"/>
      <c r="E168" s="1"/>
      <c r="F168" s="1"/>
      <c r="G168" s="1"/>
      <c r="H168" s="3"/>
      <c r="I168" s="3"/>
      <c r="J168" s="3"/>
      <c r="K168" s="3"/>
      <c r="L168" s="1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  <c r="HN168" s="3"/>
      <c r="HO168" s="3"/>
      <c r="HP168" s="3"/>
      <c r="HQ168" s="3"/>
      <c r="HR168" s="3"/>
      <c r="HS168" s="3"/>
      <c r="HT168" s="3"/>
      <c r="HU168" s="3"/>
      <c r="HV168" s="3"/>
      <c r="HW168" s="3"/>
      <c r="HX168" s="3"/>
      <c r="HY168" s="3"/>
      <c r="HZ168" s="3"/>
      <c r="IA168" s="3"/>
      <c r="IB168" s="3"/>
      <c r="IC168" s="3"/>
      <c r="ID168" s="3"/>
      <c r="IE168" s="3"/>
      <c r="IF168" s="3"/>
      <c r="IG168" s="3"/>
      <c r="IH168" s="3"/>
      <c r="II168" s="3"/>
      <c r="IJ168" s="3"/>
    </row>
    <row r="169" spans="1:244" s="43" customFormat="1" ht="13" x14ac:dyDescent="0.25">
      <c r="A169" s="48"/>
      <c r="B169" s="49" t="s">
        <v>57</v>
      </c>
      <c r="C169" s="41"/>
      <c r="D169" s="1"/>
      <c r="E169" s="50"/>
      <c r="F169" s="50">
        <f>SUM(F149:F168)</f>
        <v>44.529999999999994</v>
      </c>
      <c r="G169" s="50"/>
      <c r="H169" s="50">
        <v>0</v>
      </c>
      <c r="I169" s="50"/>
      <c r="J169" s="50">
        <f>CEILING(SUM(J149:J168),100)</f>
        <v>0</v>
      </c>
      <c r="K169" s="50">
        <f>CEILING(SUM(K149:K168),100)</f>
        <v>0</v>
      </c>
      <c r="L169" s="50">
        <f>J169+K169</f>
        <v>0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</row>
    <row r="170" spans="1:244" s="81" customFormat="1" x14ac:dyDescent="0.25">
      <c r="A170" s="18"/>
      <c r="B170" s="9"/>
      <c r="C170" s="12"/>
      <c r="D170" s="12"/>
      <c r="E170" s="12"/>
      <c r="F170" s="12"/>
      <c r="G170" s="12"/>
      <c r="H170" s="11"/>
      <c r="I170" s="11"/>
      <c r="J170" s="11"/>
      <c r="K170" s="11"/>
      <c r="L170" s="11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  <c r="HN170" s="3"/>
      <c r="HO170" s="3"/>
      <c r="HP170" s="3"/>
      <c r="HQ170" s="3"/>
      <c r="HR170" s="3"/>
      <c r="HS170" s="3"/>
      <c r="HT170" s="3"/>
      <c r="HU170" s="3"/>
      <c r="HV170" s="3"/>
      <c r="HW170" s="3"/>
      <c r="HX170" s="3"/>
      <c r="HY170" s="3"/>
      <c r="HZ170" s="3"/>
      <c r="IA170" s="3"/>
      <c r="IB170" s="3"/>
      <c r="IC170" s="3"/>
      <c r="ID170" s="3"/>
      <c r="IE170" s="3"/>
      <c r="IF170" s="3"/>
      <c r="IG170" s="3"/>
      <c r="IH170" s="3"/>
      <c r="II170" s="3"/>
      <c r="IJ170" s="3"/>
    </row>
    <row r="171" spans="1:244" s="81" customFormat="1" ht="13" x14ac:dyDescent="0.25">
      <c r="A171" s="95" t="s">
        <v>103</v>
      </c>
      <c r="B171" s="5" t="s">
        <v>143</v>
      </c>
      <c r="C171" s="12"/>
      <c r="D171" s="12"/>
      <c r="E171" s="12"/>
      <c r="F171" s="12"/>
      <c r="G171" s="12"/>
      <c r="H171" s="11"/>
      <c r="I171" s="11"/>
      <c r="J171" s="11"/>
      <c r="K171" s="11"/>
      <c r="L171" s="11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  <c r="HJ171" s="3"/>
      <c r="HK171" s="3"/>
      <c r="HL171" s="3"/>
      <c r="HM171" s="3"/>
      <c r="HN171" s="3"/>
      <c r="HO171" s="3"/>
      <c r="HP171" s="3"/>
      <c r="HQ171" s="3"/>
      <c r="HR171" s="3"/>
      <c r="HS171" s="3"/>
      <c r="HT171" s="3"/>
      <c r="HU171" s="3"/>
      <c r="HV171" s="3"/>
      <c r="HW171" s="3"/>
      <c r="HX171" s="3"/>
      <c r="HY171" s="3"/>
      <c r="HZ171" s="3"/>
      <c r="IA171" s="3"/>
      <c r="IB171" s="3"/>
      <c r="IC171" s="3"/>
      <c r="ID171" s="3"/>
      <c r="IE171" s="3"/>
      <c r="IF171" s="3"/>
      <c r="IG171" s="3"/>
      <c r="IH171" s="3"/>
      <c r="II171" s="3"/>
      <c r="IJ171" s="3"/>
    </row>
    <row r="172" spans="1:244" s="81" customFormat="1" x14ac:dyDescent="0.25">
      <c r="A172" s="18"/>
      <c r="B172" s="9"/>
      <c r="C172" s="12"/>
      <c r="D172" s="12"/>
      <c r="E172" s="12"/>
      <c r="F172" s="12"/>
      <c r="G172" s="12"/>
      <c r="H172" s="11"/>
      <c r="I172" s="11"/>
      <c r="J172" s="11"/>
      <c r="K172" s="11"/>
      <c r="L172" s="11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  <c r="HJ172" s="3"/>
      <c r="HK172" s="3"/>
      <c r="HL172" s="3"/>
      <c r="HM172" s="3"/>
      <c r="HN172" s="3"/>
      <c r="HO172" s="3"/>
      <c r="HP172" s="3"/>
      <c r="HQ172" s="3"/>
      <c r="HR172" s="3"/>
      <c r="HS172" s="3"/>
      <c r="HT172" s="3"/>
      <c r="HU172" s="3"/>
      <c r="HV172" s="3"/>
      <c r="HW172" s="3"/>
      <c r="HX172" s="3"/>
      <c r="HY172" s="3"/>
      <c r="HZ172" s="3"/>
      <c r="IA172" s="3"/>
      <c r="IB172" s="3"/>
      <c r="IC172" s="3"/>
      <c r="ID172" s="3"/>
      <c r="IE172" s="3"/>
      <c r="IF172" s="3"/>
      <c r="IG172" s="3"/>
      <c r="IH172" s="3"/>
      <c r="II172" s="3"/>
      <c r="IJ172" s="3"/>
    </row>
    <row r="173" spans="1:244" customFormat="1" ht="15" x14ac:dyDescent="0.25">
      <c r="A173" s="18"/>
      <c r="B173" s="13" t="s">
        <v>67</v>
      </c>
      <c r="C173" s="12"/>
      <c r="D173" s="24"/>
      <c r="E173" s="12"/>
      <c r="F173" s="12"/>
      <c r="G173" s="12"/>
      <c r="H173" s="11"/>
      <c r="I173" s="11"/>
      <c r="J173" s="11"/>
      <c r="K173" s="11"/>
      <c r="L173" s="1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  <c r="HJ173" s="3"/>
      <c r="HK173" s="3"/>
      <c r="HL173" s="3"/>
      <c r="HM173" s="3"/>
      <c r="HN173" s="3"/>
      <c r="HO173" s="3"/>
      <c r="HP173" s="3"/>
      <c r="HQ173" s="3"/>
      <c r="HR173" s="3"/>
      <c r="HS173" s="3"/>
      <c r="HT173" s="3"/>
      <c r="HU173" s="3"/>
      <c r="HV173" s="3"/>
      <c r="HW173" s="3"/>
      <c r="HX173" s="3"/>
      <c r="HY173" s="3"/>
      <c r="HZ173" s="3"/>
      <c r="IA173" s="3"/>
      <c r="IB173" s="3"/>
      <c r="IC173" s="3"/>
      <c r="ID173" s="3"/>
      <c r="IE173" s="3"/>
      <c r="IF173" s="3"/>
      <c r="IG173" s="3"/>
      <c r="IH173" s="3"/>
      <c r="II173" s="3"/>
      <c r="IJ173" s="3"/>
    </row>
    <row r="174" spans="1:244" ht="25" x14ac:dyDescent="0.25">
      <c r="A174" s="54"/>
      <c r="B174" s="40" t="s">
        <v>283</v>
      </c>
      <c r="C174" s="41" t="s">
        <v>68</v>
      </c>
      <c r="D174" s="46">
        <f>CEILING(1.01*(1.4+0.7),1)</f>
        <v>3</v>
      </c>
      <c r="E174" s="45">
        <v>0.49299999999999999</v>
      </c>
      <c r="F174" s="55">
        <f t="shared" ref="F174:F185" si="39">D174*E174</f>
        <v>1.4790000000000001</v>
      </c>
      <c r="G174" s="41" t="s">
        <v>69</v>
      </c>
      <c r="H174" s="41">
        <v>0</v>
      </c>
      <c r="I174" s="41">
        <v>0</v>
      </c>
      <c r="J174" s="41">
        <f t="shared" ref="J174:J185" si="40">$F174*H174</f>
        <v>0</v>
      </c>
      <c r="K174" s="41">
        <f t="shared" ref="K174:K185" si="41">$D174*I174</f>
        <v>0</v>
      </c>
      <c r="L174" s="41">
        <f t="shared" ref="L174:L185" si="42">J174+K174</f>
        <v>0</v>
      </c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  <c r="FP174" s="43"/>
      <c r="FQ174" s="43"/>
      <c r="FR174" s="43"/>
      <c r="FS174" s="43"/>
      <c r="FT174" s="43"/>
      <c r="FU174" s="43"/>
      <c r="FV174" s="43"/>
      <c r="FW174" s="43"/>
      <c r="FX174" s="43"/>
      <c r="FY174" s="43"/>
      <c r="FZ174" s="43"/>
      <c r="GA174" s="43"/>
      <c r="GB174" s="43"/>
      <c r="GC174" s="43"/>
      <c r="GD174" s="43"/>
      <c r="GE174" s="43"/>
      <c r="GF174" s="43"/>
      <c r="GG174" s="43"/>
      <c r="GH174" s="43"/>
      <c r="GI174" s="43"/>
      <c r="GJ174" s="43"/>
      <c r="GK174" s="43"/>
      <c r="GL174" s="43"/>
      <c r="GM174" s="43"/>
      <c r="GN174" s="43"/>
      <c r="GO174" s="43"/>
      <c r="GP174" s="43"/>
      <c r="GQ174" s="43"/>
      <c r="GR174" s="43"/>
      <c r="GS174" s="43"/>
      <c r="GT174" s="43"/>
      <c r="GU174" s="43"/>
      <c r="GV174" s="43"/>
      <c r="GW174" s="43"/>
      <c r="GX174" s="43"/>
      <c r="GY174" s="43"/>
      <c r="GZ174" s="43"/>
      <c r="HA174" s="43"/>
      <c r="HB174" s="43"/>
      <c r="HC174" s="43"/>
      <c r="HD174" s="43"/>
      <c r="HE174" s="43"/>
      <c r="HF174" s="43"/>
      <c r="HG174" s="43"/>
      <c r="HH174" s="43"/>
      <c r="HI174" s="43"/>
      <c r="HJ174" s="43"/>
      <c r="HK174" s="43"/>
      <c r="HL174" s="43"/>
      <c r="HM174" s="43"/>
      <c r="HN174" s="43"/>
      <c r="HO174" s="43"/>
      <c r="HP174" s="43"/>
      <c r="HQ174" s="43"/>
      <c r="HR174" s="43"/>
      <c r="HS174" s="43"/>
      <c r="HT174" s="43"/>
      <c r="HU174" s="43"/>
      <c r="HV174" s="43"/>
      <c r="HW174" s="43"/>
      <c r="HX174" s="43"/>
      <c r="HY174" s="43"/>
      <c r="HZ174" s="43"/>
      <c r="IA174" s="43"/>
      <c r="IB174" s="43"/>
      <c r="IC174" s="43"/>
      <c r="ID174" s="43"/>
      <c r="IE174" s="43"/>
      <c r="IF174" s="43"/>
      <c r="IG174" s="43"/>
      <c r="IH174" s="43"/>
      <c r="II174" s="43"/>
      <c r="IJ174" s="43"/>
    </row>
    <row r="175" spans="1:244" s="43" customFormat="1" ht="25" x14ac:dyDescent="0.25">
      <c r="A175" s="54"/>
      <c r="B175" s="44" t="s">
        <v>370</v>
      </c>
      <c r="C175" s="41" t="s">
        <v>68</v>
      </c>
      <c r="D175" s="46">
        <f>CEILING(1.01*(2*1+1),1)</f>
        <v>4</v>
      </c>
      <c r="E175" s="45">
        <v>0.59199999999999997</v>
      </c>
      <c r="F175" s="55">
        <f>D175*E175</f>
        <v>2.3679999999999999</v>
      </c>
      <c r="G175" s="41" t="s">
        <v>69</v>
      </c>
      <c r="H175" s="41">
        <v>0</v>
      </c>
      <c r="I175" s="41">
        <v>0</v>
      </c>
      <c r="J175" s="41">
        <f>$F175*H175</f>
        <v>0</v>
      </c>
      <c r="K175" s="41">
        <f>$D175*I175</f>
        <v>0</v>
      </c>
      <c r="L175" s="41">
        <f>J175+K175</f>
        <v>0</v>
      </c>
    </row>
    <row r="176" spans="1:244" s="84" customFormat="1" ht="25" x14ac:dyDescent="0.25">
      <c r="A176" s="54"/>
      <c r="B176" s="40" t="s">
        <v>284</v>
      </c>
      <c r="C176" s="41" t="s">
        <v>68</v>
      </c>
      <c r="D176" s="46">
        <f>CEILING(1.01*(0.5+1+0.9+0.275+0.4+0.25+1.5+2+1),1)</f>
        <v>8</v>
      </c>
      <c r="E176" s="45">
        <v>1.2</v>
      </c>
      <c r="F176" s="55">
        <f t="shared" si="39"/>
        <v>9.6</v>
      </c>
      <c r="G176" s="41" t="s">
        <v>69</v>
      </c>
      <c r="H176" s="41">
        <v>0</v>
      </c>
      <c r="I176" s="41">
        <v>0</v>
      </c>
      <c r="J176" s="41">
        <f t="shared" si="40"/>
        <v>0</v>
      </c>
      <c r="K176" s="41">
        <f t="shared" si="41"/>
        <v>0</v>
      </c>
      <c r="L176" s="41">
        <f t="shared" si="42"/>
        <v>0</v>
      </c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  <c r="FP176" s="43"/>
      <c r="FQ176" s="43"/>
      <c r="FR176" s="43"/>
      <c r="FS176" s="43"/>
      <c r="FT176" s="43"/>
      <c r="FU176" s="43"/>
      <c r="FV176" s="43"/>
      <c r="FW176" s="43"/>
      <c r="FX176" s="43"/>
      <c r="FY176" s="43"/>
      <c r="FZ176" s="43"/>
      <c r="GA176" s="43"/>
      <c r="GB176" s="43"/>
      <c r="GC176" s="43"/>
      <c r="GD176" s="43"/>
      <c r="GE176" s="43"/>
      <c r="GF176" s="43"/>
      <c r="GG176" s="43"/>
      <c r="GH176" s="43"/>
      <c r="GI176" s="43"/>
      <c r="GJ176" s="43"/>
      <c r="GK176" s="43"/>
      <c r="GL176" s="43"/>
      <c r="GM176" s="43"/>
      <c r="GN176" s="43"/>
      <c r="GO176" s="43"/>
      <c r="GP176" s="43"/>
      <c r="GQ176" s="43"/>
      <c r="GR176" s="43"/>
      <c r="GS176" s="43"/>
      <c r="GT176" s="43"/>
      <c r="GU176" s="43"/>
      <c r="GV176" s="43"/>
      <c r="GW176" s="43"/>
      <c r="GX176" s="43"/>
      <c r="GY176" s="43"/>
      <c r="GZ176" s="43"/>
      <c r="HA176" s="43"/>
      <c r="HB176" s="43"/>
      <c r="HC176" s="43"/>
      <c r="HD176" s="43"/>
      <c r="HE176" s="43"/>
      <c r="HF176" s="43"/>
      <c r="HG176" s="43"/>
      <c r="HH176" s="43"/>
      <c r="HI176" s="43"/>
      <c r="HJ176" s="43"/>
      <c r="HK176" s="43"/>
      <c r="HL176" s="43"/>
      <c r="HM176" s="43"/>
      <c r="HN176" s="43"/>
      <c r="HO176" s="43"/>
      <c r="HP176" s="43"/>
      <c r="HQ176" s="43"/>
      <c r="HR176" s="43"/>
      <c r="HS176" s="43"/>
      <c r="HT176" s="43"/>
      <c r="HU176" s="43"/>
      <c r="HV176" s="43"/>
      <c r="HW176" s="43"/>
      <c r="HX176" s="43"/>
      <c r="HY176" s="43"/>
      <c r="HZ176" s="43"/>
      <c r="IA176" s="43"/>
      <c r="IB176" s="43"/>
      <c r="IC176" s="43"/>
      <c r="ID176" s="43"/>
      <c r="IE176" s="43"/>
      <c r="IF176" s="43"/>
      <c r="IG176" s="43"/>
      <c r="IH176" s="43"/>
      <c r="II176" s="43"/>
      <c r="IJ176" s="43"/>
    </row>
    <row r="177" spans="1:244" s="81" customFormat="1" ht="25" x14ac:dyDescent="0.25">
      <c r="A177" s="54"/>
      <c r="B177" s="40" t="s">
        <v>285</v>
      </c>
      <c r="C177" s="41" t="s">
        <v>68</v>
      </c>
      <c r="D177" s="46">
        <f>CEILING(1.01*0.5,1)</f>
        <v>1</v>
      </c>
      <c r="E177" s="45">
        <v>1.56</v>
      </c>
      <c r="F177" s="55">
        <f t="shared" si="39"/>
        <v>1.56</v>
      </c>
      <c r="G177" s="41" t="s">
        <v>69</v>
      </c>
      <c r="H177" s="41">
        <v>0</v>
      </c>
      <c r="I177" s="41">
        <v>0</v>
      </c>
      <c r="J177" s="41">
        <f t="shared" si="40"/>
        <v>0</v>
      </c>
      <c r="K177" s="41">
        <f t="shared" si="41"/>
        <v>0</v>
      </c>
      <c r="L177" s="41">
        <f t="shared" si="42"/>
        <v>0</v>
      </c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  <c r="FP177" s="43"/>
      <c r="FQ177" s="43"/>
      <c r="FR177" s="43"/>
      <c r="FS177" s="43"/>
      <c r="FT177" s="43"/>
      <c r="FU177" s="43"/>
      <c r="FV177" s="43"/>
      <c r="FW177" s="43"/>
      <c r="FX177" s="43"/>
      <c r="FY177" s="43"/>
      <c r="FZ177" s="43"/>
      <c r="GA177" s="43"/>
      <c r="GB177" s="43"/>
      <c r="GC177" s="43"/>
      <c r="GD177" s="43"/>
      <c r="GE177" s="43"/>
      <c r="GF177" s="43"/>
      <c r="GG177" s="43"/>
      <c r="GH177" s="43"/>
      <c r="GI177" s="43"/>
      <c r="GJ177" s="43"/>
      <c r="GK177" s="43"/>
      <c r="GL177" s="43"/>
      <c r="GM177" s="43"/>
      <c r="GN177" s="43"/>
      <c r="GO177" s="43"/>
      <c r="GP177" s="43"/>
      <c r="GQ177" s="43"/>
      <c r="GR177" s="43"/>
      <c r="GS177" s="43"/>
      <c r="GT177" s="43"/>
      <c r="GU177" s="43"/>
      <c r="GV177" s="43"/>
      <c r="GW177" s="43"/>
      <c r="GX177" s="43"/>
      <c r="GY177" s="43"/>
      <c r="GZ177" s="43"/>
      <c r="HA177" s="43"/>
      <c r="HB177" s="43"/>
      <c r="HC177" s="43"/>
      <c r="HD177" s="43"/>
      <c r="HE177" s="43"/>
      <c r="HF177" s="43"/>
      <c r="HG177" s="43"/>
      <c r="HH177" s="43"/>
      <c r="HI177" s="43"/>
      <c r="HJ177" s="43"/>
      <c r="HK177" s="43"/>
      <c r="HL177" s="43"/>
      <c r="HM177" s="43"/>
      <c r="HN177" s="43"/>
      <c r="HO177" s="43"/>
      <c r="HP177" s="43"/>
      <c r="HQ177" s="43"/>
      <c r="HR177" s="43"/>
      <c r="HS177" s="43"/>
      <c r="HT177" s="43"/>
      <c r="HU177" s="43"/>
      <c r="HV177" s="43"/>
      <c r="HW177" s="43"/>
      <c r="HX177" s="43"/>
      <c r="HY177" s="43"/>
      <c r="HZ177" s="43"/>
      <c r="IA177" s="43"/>
      <c r="IB177" s="43"/>
      <c r="IC177" s="43"/>
      <c r="ID177" s="43"/>
      <c r="IE177" s="43"/>
      <c r="IF177" s="43"/>
      <c r="IG177" s="43"/>
      <c r="IH177" s="43"/>
      <c r="II177" s="43"/>
      <c r="IJ177" s="43"/>
    </row>
    <row r="178" spans="1:244" s="84" customFormat="1" ht="25" x14ac:dyDescent="0.25">
      <c r="A178" s="54"/>
      <c r="B178" s="40" t="s">
        <v>286</v>
      </c>
      <c r="C178" s="41" t="s">
        <v>68</v>
      </c>
      <c r="D178" s="46">
        <f>CEILING(1.01*2*(0.275+0.25+2.5+5+2.5),1)</f>
        <v>22</v>
      </c>
      <c r="E178" s="45">
        <v>1.99</v>
      </c>
      <c r="F178" s="55">
        <f t="shared" si="39"/>
        <v>43.78</v>
      </c>
      <c r="G178" s="41" t="s">
        <v>69</v>
      </c>
      <c r="H178" s="41">
        <v>0</v>
      </c>
      <c r="I178" s="41">
        <v>0</v>
      </c>
      <c r="J178" s="41">
        <f t="shared" si="40"/>
        <v>0</v>
      </c>
      <c r="K178" s="41">
        <f t="shared" si="41"/>
        <v>0</v>
      </c>
      <c r="L178" s="41">
        <f t="shared" si="42"/>
        <v>0</v>
      </c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  <c r="FP178" s="43"/>
      <c r="FQ178" s="43"/>
      <c r="FR178" s="43"/>
      <c r="FS178" s="43"/>
      <c r="FT178" s="43"/>
      <c r="FU178" s="43"/>
      <c r="FV178" s="43"/>
      <c r="FW178" s="43"/>
      <c r="FX178" s="43"/>
      <c r="FY178" s="43"/>
      <c r="FZ178" s="43"/>
      <c r="GA178" s="43"/>
      <c r="GB178" s="43"/>
      <c r="GC178" s="43"/>
      <c r="GD178" s="43"/>
      <c r="GE178" s="43"/>
      <c r="GF178" s="43"/>
      <c r="GG178" s="43"/>
      <c r="GH178" s="43"/>
      <c r="GI178" s="43"/>
      <c r="GJ178" s="43"/>
      <c r="GK178" s="43"/>
      <c r="GL178" s="43"/>
      <c r="GM178" s="43"/>
      <c r="GN178" s="43"/>
      <c r="GO178" s="43"/>
      <c r="GP178" s="43"/>
      <c r="GQ178" s="43"/>
      <c r="GR178" s="43"/>
      <c r="GS178" s="43"/>
      <c r="GT178" s="43"/>
      <c r="GU178" s="43"/>
      <c r="GV178" s="43"/>
      <c r="GW178" s="43"/>
      <c r="GX178" s="43"/>
      <c r="GY178" s="43"/>
      <c r="GZ178" s="43"/>
      <c r="HA178" s="43"/>
      <c r="HB178" s="43"/>
      <c r="HC178" s="43"/>
      <c r="HD178" s="43"/>
      <c r="HE178" s="43"/>
      <c r="HF178" s="43"/>
      <c r="HG178" s="43"/>
      <c r="HH178" s="43"/>
      <c r="HI178" s="43"/>
      <c r="HJ178" s="43"/>
      <c r="HK178" s="43"/>
      <c r="HL178" s="43"/>
      <c r="HM178" s="43"/>
      <c r="HN178" s="43"/>
      <c r="HO178" s="43"/>
      <c r="HP178" s="43"/>
      <c r="HQ178" s="43"/>
      <c r="HR178" s="43"/>
      <c r="HS178" s="43"/>
      <c r="HT178" s="43"/>
      <c r="HU178" s="43"/>
      <c r="HV178" s="43"/>
      <c r="HW178" s="43"/>
      <c r="HX178" s="43"/>
      <c r="HY178" s="43"/>
      <c r="HZ178" s="43"/>
      <c r="IA178" s="43"/>
      <c r="IB178" s="43"/>
      <c r="IC178" s="43"/>
      <c r="ID178" s="43"/>
      <c r="IE178" s="43"/>
      <c r="IF178" s="43"/>
      <c r="IG178" s="43"/>
      <c r="IH178" s="43"/>
      <c r="II178" s="43"/>
      <c r="IJ178" s="43"/>
    </row>
    <row r="179" spans="1:244" s="84" customFormat="1" ht="25" x14ac:dyDescent="0.25">
      <c r="A179" s="54"/>
      <c r="B179" s="40" t="s">
        <v>287</v>
      </c>
      <c r="C179" s="41" t="s">
        <v>68</v>
      </c>
      <c r="D179" s="46">
        <f>CEILING(1.01*(2+5),1)</f>
        <v>8</v>
      </c>
      <c r="E179" s="45">
        <v>2.5499999999999998</v>
      </c>
      <c r="F179" s="55">
        <f t="shared" si="39"/>
        <v>20.399999999999999</v>
      </c>
      <c r="G179" s="41" t="s">
        <v>69</v>
      </c>
      <c r="H179" s="41">
        <v>0</v>
      </c>
      <c r="I179" s="41">
        <v>0</v>
      </c>
      <c r="J179" s="41">
        <f t="shared" si="40"/>
        <v>0</v>
      </c>
      <c r="K179" s="41">
        <f t="shared" si="41"/>
        <v>0</v>
      </c>
      <c r="L179" s="41">
        <f t="shared" si="42"/>
        <v>0</v>
      </c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  <c r="FP179" s="43"/>
      <c r="FQ179" s="43"/>
      <c r="FR179" s="43"/>
      <c r="FS179" s="43"/>
      <c r="FT179" s="43"/>
      <c r="FU179" s="43"/>
      <c r="FV179" s="43"/>
      <c r="FW179" s="43"/>
      <c r="FX179" s="43"/>
      <c r="FY179" s="43"/>
      <c r="FZ179" s="43"/>
      <c r="GA179" s="43"/>
      <c r="GB179" s="43"/>
      <c r="GC179" s="43"/>
      <c r="GD179" s="43"/>
      <c r="GE179" s="43"/>
      <c r="GF179" s="43"/>
      <c r="GG179" s="43"/>
      <c r="GH179" s="43"/>
      <c r="GI179" s="43"/>
      <c r="GJ179" s="43"/>
      <c r="GK179" s="43"/>
      <c r="GL179" s="43"/>
      <c r="GM179" s="43"/>
      <c r="GN179" s="43"/>
      <c r="GO179" s="43"/>
      <c r="GP179" s="43"/>
      <c r="GQ179" s="43"/>
      <c r="GR179" s="43"/>
      <c r="GS179" s="43"/>
      <c r="GT179" s="43"/>
      <c r="GU179" s="43"/>
      <c r="GV179" s="43"/>
      <c r="GW179" s="43"/>
      <c r="GX179" s="43"/>
      <c r="GY179" s="43"/>
      <c r="GZ179" s="43"/>
      <c r="HA179" s="43"/>
      <c r="HB179" s="43"/>
      <c r="HC179" s="43"/>
      <c r="HD179" s="43"/>
      <c r="HE179" s="43"/>
      <c r="HF179" s="43"/>
      <c r="HG179" s="43"/>
      <c r="HH179" s="43"/>
      <c r="HI179" s="43"/>
      <c r="HJ179" s="43"/>
      <c r="HK179" s="43"/>
      <c r="HL179" s="43"/>
      <c r="HM179" s="43"/>
      <c r="HN179" s="43"/>
      <c r="HO179" s="43"/>
      <c r="HP179" s="43"/>
      <c r="HQ179" s="43"/>
      <c r="HR179" s="43"/>
      <c r="HS179" s="43"/>
      <c r="HT179" s="43"/>
      <c r="HU179" s="43"/>
      <c r="HV179" s="43"/>
      <c r="HW179" s="43"/>
      <c r="HX179" s="43"/>
      <c r="HY179" s="43"/>
      <c r="HZ179" s="43"/>
      <c r="IA179" s="43"/>
      <c r="IB179" s="43"/>
      <c r="IC179" s="43"/>
      <c r="ID179" s="43"/>
      <c r="IE179" s="43"/>
      <c r="IF179" s="43"/>
      <c r="IG179" s="43"/>
      <c r="IH179" s="43"/>
      <c r="II179" s="43"/>
      <c r="IJ179" s="43"/>
    </row>
    <row r="180" spans="1:244" s="84" customFormat="1" ht="25" x14ac:dyDescent="0.25">
      <c r="A180" s="54"/>
      <c r="B180" s="40" t="s">
        <v>288</v>
      </c>
      <c r="C180" s="41" t="s">
        <v>68</v>
      </c>
      <c r="D180" s="46">
        <f>CEILING(1.01*0.5,1)</f>
        <v>1</v>
      </c>
      <c r="E180" s="45">
        <v>2.93</v>
      </c>
      <c r="F180" s="55">
        <f t="shared" si="39"/>
        <v>2.93</v>
      </c>
      <c r="G180" s="41" t="s">
        <v>69</v>
      </c>
      <c r="H180" s="41">
        <v>0</v>
      </c>
      <c r="I180" s="41">
        <v>0</v>
      </c>
      <c r="J180" s="41">
        <f t="shared" si="40"/>
        <v>0</v>
      </c>
      <c r="K180" s="41">
        <f t="shared" si="41"/>
        <v>0</v>
      </c>
      <c r="L180" s="41">
        <f t="shared" si="42"/>
        <v>0</v>
      </c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  <c r="FP180" s="43"/>
      <c r="FQ180" s="43"/>
      <c r="FR180" s="43"/>
      <c r="FS180" s="43"/>
      <c r="FT180" s="43"/>
      <c r="FU180" s="43"/>
      <c r="FV180" s="43"/>
      <c r="FW180" s="43"/>
      <c r="FX180" s="43"/>
      <c r="FY180" s="43"/>
      <c r="FZ180" s="43"/>
      <c r="GA180" s="43"/>
      <c r="GB180" s="43"/>
      <c r="GC180" s="43"/>
      <c r="GD180" s="43"/>
      <c r="GE180" s="43"/>
      <c r="GF180" s="43"/>
      <c r="GG180" s="43"/>
      <c r="GH180" s="43"/>
      <c r="GI180" s="43"/>
      <c r="GJ180" s="43"/>
      <c r="GK180" s="43"/>
      <c r="GL180" s="43"/>
      <c r="GM180" s="43"/>
      <c r="GN180" s="43"/>
      <c r="GO180" s="43"/>
      <c r="GP180" s="43"/>
      <c r="GQ180" s="43"/>
      <c r="GR180" s="43"/>
      <c r="GS180" s="43"/>
      <c r="GT180" s="43"/>
      <c r="GU180" s="43"/>
      <c r="GV180" s="43"/>
      <c r="GW180" s="43"/>
      <c r="GX180" s="43"/>
      <c r="GY180" s="43"/>
      <c r="GZ180" s="43"/>
      <c r="HA180" s="43"/>
      <c r="HB180" s="43"/>
      <c r="HC180" s="43"/>
      <c r="HD180" s="43"/>
      <c r="HE180" s="43"/>
      <c r="HF180" s="43"/>
      <c r="HG180" s="43"/>
      <c r="HH180" s="43"/>
      <c r="HI180" s="43"/>
      <c r="HJ180" s="43"/>
      <c r="HK180" s="43"/>
      <c r="HL180" s="43"/>
      <c r="HM180" s="43"/>
      <c r="HN180" s="43"/>
      <c r="HO180" s="43"/>
      <c r="HP180" s="43"/>
      <c r="HQ180" s="43"/>
      <c r="HR180" s="43"/>
      <c r="HS180" s="43"/>
      <c r="HT180" s="43"/>
      <c r="HU180" s="43"/>
      <c r="HV180" s="43"/>
      <c r="HW180" s="43"/>
      <c r="HX180" s="43"/>
      <c r="HY180" s="43"/>
      <c r="HZ180" s="43"/>
      <c r="IA180" s="43"/>
      <c r="IB180" s="43"/>
      <c r="IC180" s="43"/>
      <c r="ID180" s="43"/>
      <c r="IE180" s="43"/>
      <c r="IF180" s="43"/>
      <c r="IG180" s="43"/>
      <c r="IH180" s="43"/>
      <c r="II180" s="43"/>
      <c r="IJ180" s="43"/>
    </row>
    <row r="181" spans="1:244" s="84" customFormat="1" ht="25" x14ac:dyDescent="0.25">
      <c r="A181" s="54"/>
      <c r="B181" s="40" t="s">
        <v>289</v>
      </c>
      <c r="C181" s="41" t="s">
        <v>68</v>
      </c>
      <c r="D181" s="46">
        <f>CEILING(1.01*(0.7+0.5+1.7+0.5+5.7+6.6+2.9+2.2+0.2+3.5+5.7+6.8),1)</f>
        <v>38</v>
      </c>
      <c r="E181" s="45">
        <v>4.1100000000000003</v>
      </c>
      <c r="F181" s="55">
        <f t="shared" si="39"/>
        <v>156.18</v>
      </c>
      <c r="G181" s="41" t="s">
        <v>69</v>
      </c>
      <c r="H181" s="41">
        <v>0</v>
      </c>
      <c r="I181" s="41">
        <v>0</v>
      </c>
      <c r="J181" s="41">
        <f t="shared" si="40"/>
        <v>0</v>
      </c>
      <c r="K181" s="41">
        <f t="shared" si="41"/>
        <v>0</v>
      </c>
      <c r="L181" s="41">
        <f t="shared" si="42"/>
        <v>0</v>
      </c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  <c r="FP181" s="43"/>
      <c r="FQ181" s="43"/>
      <c r="FR181" s="43"/>
      <c r="FS181" s="43"/>
      <c r="FT181" s="43"/>
      <c r="FU181" s="43"/>
      <c r="FV181" s="43"/>
      <c r="FW181" s="43"/>
      <c r="FX181" s="43"/>
      <c r="FY181" s="43"/>
      <c r="FZ181" s="43"/>
      <c r="GA181" s="43"/>
      <c r="GB181" s="43"/>
      <c r="GC181" s="43"/>
      <c r="GD181" s="43"/>
      <c r="GE181" s="43"/>
      <c r="GF181" s="43"/>
      <c r="GG181" s="43"/>
      <c r="GH181" s="43"/>
      <c r="GI181" s="43"/>
      <c r="GJ181" s="43"/>
      <c r="GK181" s="43"/>
      <c r="GL181" s="43"/>
      <c r="GM181" s="43"/>
      <c r="GN181" s="43"/>
      <c r="GO181" s="43"/>
      <c r="GP181" s="43"/>
      <c r="GQ181" s="43"/>
      <c r="GR181" s="43"/>
      <c r="GS181" s="43"/>
      <c r="GT181" s="43"/>
      <c r="GU181" s="43"/>
      <c r="GV181" s="43"/>
      <c r="GW181" s="43"/>
      <c r="GX181" s="43"/>
      <c r="GY181" s="43"/>
      <c r="GZ181" s="43"/>
      <c r="HA181" s="43"/>
      <c r="HB181" s="43"/>
      <c r="HC181" s="43"/>
      <c r="HD181" s="43"/>
      <c r="HE181" s="43"/>
      <c r="HF181" s="43"/>
      <c r="HG181" s="43"/>
      <c r="HH181" s="43"/>
      <c r="HI181" s="43"/>
      <c r="HJ181" s="43"/>
      <c r="HK181" s="43"/>
      <c r="HL181" s="43"/>
      <c r="HM181" s="43"/>
      <c r="HN181" s="43"/>
      <c r="HO181" s="43"/>
      <c r="HP181" s="43"/>
      <c r="HQ181" s="43"/>
      <c r="HR181" s="43"/>
      <c r="HS181" s="43"/>
      <c r="HT181" s="43"/>
      <c r="HU181" s="43"/>
      <c r="HV181" s="43"/>
      <c r="HW181" s="43"/>
      <c r="HX181" s="43"/>
      <c r="HY181" s="43"/>
      <c r="HZ181" s="43"/>
      <c r="IA181" s="43"/>
      <c r="IB181" s="43"/>
      <c r="IC181" s="43"/>
      <c r="ID181" s="43"/>
      <c r="IE181" s="43"/>
      <c r="IF181" s="43"/>
      <c r="IG181" s="43"/>
      <c r="IH181" s="43"/>
      <c r="II181" s="43"/>
      <c r="IJ181" s="43"/>
    </row>
    <row r="182" spans="1:244" s="84" customFormat="1" ht="25" x14ac:dyDescent="0.25">
      <c r="A182" s="54"/>
      <c r="B182" s="40" t="s">
        <v>290</v>
      </c>
      <c r="C182" s="41" t="s">
        <v>68</v>
      </c>
      <c r="D182" s="46">
        <f>CEILING(1.01*(3+0.9+3.5+1+0.5+0.95+5.9+2.2+0.9+2.9+2.2+2*0.5),1)</f>
        <v>26</v>
      </c>
      <c r="E182" s="45">
        <v>5.75</v>
      </c>
      <c r="F182" s="55">
        <f t="shared" si="39"/>
        <v>149.5</v>
      </c>
      <c r="G182" s="41" t="s">
        <v>69</v>
      </c>
      <c r="H182" s="41">
        <v>0</v>
      </c>
      <c r="I182" s="41">
        <v>0</v>
      </c>
      <c r="J182" s="41">
        <f t="shared" si="40"/>
        <v>0</v>
      </c>
      <c r="K182" s="41">
        <f t="shared" si="41"/>
        <v>0</v>
      </c>
      <c r="L182" s="41">
        <f t="shared" si="42"/>
        <v>0</v>
      </c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  <c r="FP182" s="43"/>
      <c r="FQ182" s="43"/>
      <c r="FR182" s="43"/>
      <c r="FS182" s="43"/>
      <c r="FT182" s="43"/>
      <c r="FU182" s="43"/>
      <c r="FV182" s="43"/>
      <c r="FW182" s="43"/>
      <c r="FX182" s="43"/>
      <c r="FY182" s="43"/>
      <c r="FZ182" s="43"/>
      <c r="GA182" s="43"/>
      <c r="GB182" s="43"/>
      <c r="GC182" s="43"/>
      <c r="GD182" s="43"/>
      <c r="GE182" s="43"/>
      <c r="GF182" s="43"/>
      <c r="GG182" s="43"/>
      <c r="GH182" s="43"/>
      <c r="GI182" s="43"/>
      <c r="GJ182" s="43"/>
      <c r="GK182" s="43"/>
      <c r="GL182" s="43"/>
      <c r="GM182" s="43"/>
      <c r="GN182" s="43"/>
      <c r="GO182" s="43"/>
      <c r="GP182" s="43"/>
      <c r="GQ182" s="43"/>
      <c r="GR182" s="43"/>
      <c r="GS182" s="43"/>
      <c r="GT182" s="43"/>
      <c r="GU182" s="43"/>
      <c r="GV182" s="43"/>
      <c r="GW182" s="43"/>
      <c r="GX182" s="43"/>
      <c r="GY182" s="43"/>
      <c r="GZ182" s="43"/>
      <c r="HA182" s="43"/>
      <c r="HB182" s="43"/>
      <c r="HC182" s="43"/>
      <c r="HD182" s="43"/>
      <c r="HE182" s="43"/>
      <c r="HF182" s="43"/>
      <c r="HG182" s="43"/>
      <c r="HH182" s="43"/>
      <c r="HI182" s="43"/>
      <c r="HJ182" s="43"/>
      <c r="HK182" s="43"/>
      <c r="HL182" s="43"/>
      <c r="HM182" s="43"/>
      <c r="HN182" s="43"/>
      <c r="HO182" s="43"/>
      <c r="HP182" s="43"/>
      <c r="HQ182" s="43"/>
      <c r="HR182" s="43"/>
      <c r="HS182" s="43"/>
      <c r="HT182" s="43"/>
      <c r="HU182" s="43"/>
      <c r="HV182" s="43"/>
      <c r="HW182" s="43"/>
      <c r="HX182" s="43"/>
      <c r="HY182" s="43"/>
      <c r="HZ182" s="43"/>
      <c r="IA182" s="43"/>
      <c r="IB182" s="43"/>
      <c r="IC182" s="43"/>
      <c r="ID182" s="43"/>
      <c r="IE182" s="43"/>
      <c r="IF182" s="43"/>
      <c r="IG182" s="43"/>
      <c r="IH182" s="43"/>
      <c r="II182" s="43"/>
      <c r="IJ182" s="43"/>
    </row>
    <row r="183" spans="1:244" s="84" customFormat="1" ht="25" x14ac:dyDescent="0.25">
      <c r="A183" s="54"/>
      <c r="B183" s="40" t="s">
        <v>291</v>
      </c>
      <c r="C183" s="41" t="s">
        <v>68</v>
      </c>
      <c r="D183" s="46">
        <f>CEILING(1.01*(5.1+2.1+7.2+2.4+0.6+0.8+3.3+0.75+0.95+2*0.25),1)</f>
        <v>24</v>
      </c>
      <c r="E183" s="45">
        <v>7.57</v>
      </c>
      <c r="F183" s="55">
        <f t="shared" si="39"/>
        <v>181.68</v>
      </c>
      <c r="G183" s="41" t="s">
        <v>69</v>
      </c>
      <c r="H183" s="41">
        <v>0</v>
      </c>
      <c r="I183" s="41">
        <v>0</v>
      </c>
      <c r="J183" s="41">
        <f t="shared" si="40"/>
        <v>0</v>
      </c>
      <c r="K183" s="41">
        <f t="shared" si="41"/>
        <v>0</v>
      </c>
      <c r="L183" s="41">
        <f t="shared" si="42"/>
        <v>0</v>
      </c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  <c r="FP183" s="43"/>
      <c r="FQ183" s="43"/>
      <c r="FR183" s="43"/>
      <c r="FS183" s="43"/>
      <c r="FT183" s="43"/>
      <c r="FU183" s="43"/>
      <c r="FV183" s="43"/>
      <c r="FW183" s="43"/>
      <c r="FX183" s="43"/>
      <c r="FY183" s="43"/>
      <c r="FZ183" s="43"/>
      <c r="GA183" s="43"/>
      <c r="GB183" s="43"/>
      <c r="GC183" s="43"/>
      <c r="GD183" s="43"/>
      <c r="GE183" s="43"/>
      <c r="GF183" s="43"/>
      <c r="GG183" s="43"/>
      <c r="GH183" s="43"/>
      <c r="GI183" s="43"/>
      <c r="GJ183" s="43"/>
      <c r="GK183" s="43"/>
      <c r="GL183" s="43"/>
      <c r="GM183" s="43"/>
      <c r="GN183" s="43"/>
      <c r="GO183" s="43"/>
      <c r="GP183" s="43"/>
      <c r="GQ183" s="43"/>
      <c r="GR183" s="43"/>
      <c r="GS183" s="43"/>
      <c r="GT183" s="43"/>
      <c r="GU183" s="43"/>
      <c r="GV183" s="43"/>
      <c r="GW183" s="43"/>
      <c r="GX183" s="43"/>
      <c r="GY183" s="43"/>
      <c r="GZ183" s="43"/>
      <c r="HA183" s="43"/>
      <c r="HB183" s="43"/>
      <c r="HC183" s="43"/>
      <c r="HD183" s="43"/>
      <c r="HE183" s="43"/>
      <c r="HF183" s="43"/>
      <c r="HG183" s="43"/>
      <c r="HH183" s="43"/>
      <c r="HI183" s="43"/>
      <c r="HJ183" s="43"/>
      <c r="HK183" s="43"/>
      <c r="HL183" s="43"/>
      <c r="HM183" s="43"/>
      <c r="HN183" s="43"/>
      <c r="HO183" s="43"/>
      <c r="HP183" s="43"/>
      <c r="HQ183" s="43"/>
      <c r="HR183" s="43"/>
      <c r="HS183" s="43"/>
      <c r="HT183" s="43"/>
      <c r="HU183" s="43"/>
      <c r="HV183" s="43"/>
      <c r="HW183" s="43"/>
      <c r="HX183" s="43"/>
      <c r="HY183" s="43"/>
      <c r="HZ183" s="43"/>
      <c r="IA183" s="43"/>
      <c r="IB183" s="43"/>
      <c r="IC183" s="43"/>
      <c r="ID183" s="43"/>
      <c r="IE183" s="43"/>
      <c r="IF183" s="43"/>
      <c r="IG183" s="43"/>
      <c r="IH183" s="43"/>
      <c r="II183" s="43"/>
      <c r="IJ183" s="43"/>
    </row>
    <row r="184" spans="1:244" s="43" customFormat="1" ht="25" x14ac:dyDescent="0.25">
      <c r="A184" s="54"/>
      <c r="B184" s="40" t="s">
        <v>303</v>
      </c>
      <c r="C184" s="41" t="s">
        <v>68</v>
      </c>
      <c r="D184" s="76">
        <f>CEILING(1.01*(0.5),1)</f>
        <v>1</v>
      </c>
      <c r="E184" s="45">
        <v>10.9</v>
      </c>
      <c r="F184" s="55">
        <f t="shared" si="39"/>
        <v>10.9</v>
      </c>
      <c r="G184" s="41" t="s">
        <v>69</v>
      </c>
      <c r="H184" s="41">
        <v>0</v>
      </c>
      <c r="I184" s="41">
        <v>0</v>
      </c>
      <c r="J184" s="41">
        <f t="shared" si="40"/>
        <v>0</v>
      </c>
      <c r="K184" s="41">
        <f t="shared" si="41"/>
        <v>0</v>
      </c>
      <c r="L184" s="41">
        <f t="shared" si="42"/>
        <v>0</v>
      </c>
    </row>
    <row r="185" spans="1:244" s="81" customFormat="1" ht="25" x14ac:dyDescent="0.25">
      <c r="A185" s="54"/>
      <c r="B185" s="40" t="s">
        <v>292</v>
      </c>
      <c r="C185" s="41" t="s">
        <v>68</v>
      </c>
      <c r="D185" s="46">
        <f>CEILING(1.01*(2.3+0.5+0.5),1)</f>
        <v>4</v>
      </c>
      <c r="E185" s="45">
        <v>15</v>
      </c>
      <c r="F185" s="55">
        <f t="shared" si="39"/>
        <v>60</v>
      </c>
      <c r="G185" s="41" t="s">
        <v>69</v>
      </c>
      <c r="H185" s="41">
        <v>0</v>
      </c>
      <c r="I185" s="41">
        <v>0</v>
      </c>
      <c r="J185" s="41">
        <f t="shared" si="40"/>
        <v>0</v>
      </c>
      <c r="K185" s="41">
        <f t="shared" si="41"/>
        <v>0</v>
      </c>
      <c r="L185" s="41">
        <f t="shared" si="42"/>
        <v>0</v>
      </c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  <c r="FP185" s="43"/>
      <c r="FQ185" s="43"/>
      <c r="FR185" s="43"/>
      <c r="FS185" s="43"/>
      <c r="FT185" s="43"/>
      <c r="FU185" s="43"/>
      <c r="FV185" s="43"/>
      <c r="FW185" s="43"/>
      <c r="FX185" s="43"/>
      <c r="FY185" s="43"/>
      <c r="FZ185" s="43"/>
      <c r="GA185" s="43"/>
      <c r="GB185" s="43"/>
      <c r="GC185" s="43"/>
      <c r="GD185" s="43"/>
      <c r="GE185" s="43"/>
      <c r="GF185" s="43"/>
      <c r="GG185" s="43"/>
      <c r="GH185" s="43"/>
      <c r="GI185" s="43"/>
      <c r="GJ185" s="43"/>
      <c r="GK185" s="43"/>
      <c r="GL185" s="43"/>
      <c r="GM185" s="43"/>
      <c r="GN185" s="43"/>
      <c r="GO185" s="43"/>
      <c r="GP185" s="43"/>
      <c r="GQ185" s="43"/>
      <c r="GR185" s="43"/>
      <c r="GS185" s="43"/>
      <c r="GT185" s="43"/>
      <c r="GU185" s="43"/>
      <c r="GV185" s="43"/>
      <c r="GW185" s="43"/>
      <c r="GX185" s="43"/>
      <c r="GY185" s="43"/>
      <c r="GZ185" s="43"/>
      <c r="HA185" s="43"/>
      <c r="HB185" s="43"/>
      <c r="HC185" s="43"/>
      <c r="HD185" s="43"/>
      <c r="HE185" s="43"/>
      <c r="HF185" s="43"/>
      <c r="HG185" s="43"/>
      <c r="HH185" s="43"/>
      <c r="HI185" s="43"/>
      <c r="HJ185" s="43"/>
      <c r="HK185" s="43"/>
      <c r="HL185" s="43"/>
      <c r="HM185" s="43"/>
      <c r="HN185" s="43"/>
      <c r="HO185" s="43"/>
      <c r="HP185" s="43"/>
      <c r="HQ185" s="43"/>
      <c r="HR185" s="43"/>
      <c r="HS185" s="43"/>
      <c r="HT185" s="43"/>
      <c r="HU185" s="43"/>
      <c r="HV185" s="43"/>
      <c r="HW185" s="43"/>
      <c r="HX185" s="43"/>
      <c r="HY185" s="43"/>
      <c r="HZ185" s="43"/>
      <c r="IA185" s="43"/>
      <c r="IB185" s="43"/>
      <c r="IC185" s="43"/>
      <c r="ID185" s="43"/>
      <c r="IE185" s="43"/>
      <c r="IF185" s="43"/>
      <c r="IG185" s="43"/>
      <c r="IH185" s="43"/>
      <c r="II185" s="43"/>
      <c r="IJ185" s="43"/>
    </row>
    <row r="186" spans="1:244" s="81" customFormat="1" ht="25" x14ac:dyDescent="0.25">
      <c r="A186" s="84"/>
      <c r="B186" s="85" t="s">
        <v>106</v>
      </c>
      <c r="C186" s="41" t="s">
        <v>53</v>
      </c>
      <c r="D186" s="41">
        <f>2+4+3+3+2</f>
        <v>14</v>
      </c>
      <c r="E186" s="45">
        <f>ROUND(PI()/2*29/1000*1.2,2)</f>
        <v>0.05</v>
      </c>
      <c r="F186" s="55">
        <f t="shared" ref="F186:F212" si="43">D186*E186</f>
        <v>0.70000000000000007</v>
      </c>
      <c r="G186" s="41" t="s">
        <v>53</v>
      </c>
      <c r="H186" s="75">
        <v>0</v>
      </c>
      <c r="I186" s="75">
        <v>0</v>
      </c>
      <c r="J186" s="41">
        <f t="shared" ref="J186:K187" si="44">$D186*H186</f>
        <v>0</v>
      </c>
      <c r="K186" s="41">
        <f t="shared" si="44"/>
        <v>0</v>
      </c>
      <c r="L186" s="41">
        <f t="shared" ref="L186:L212" si="45">J186+K186</f>
        <v>0</v>
      </c>
      <c r="M186" s="84"/>
      <c r="N186" s="84"/>
      <c r="O186" s="84"/>
      <c r="P186" s="84"/>
      <c r="Q186" s="84"/>
      <c r="R186" s="84"/>
      <c r="S186" s="84"/>
      <c r="T186" s="84"/>
      <c r="U186" s="84"/>
      <c r="V186" s="84"/>
      <c r="W186" s="84"/>
      <c r="X186" s="84"/>
      <c r="Y186" s="84"/>
      <c r="Z186" s="84"/>
      <c r="AA186" s="84"/>
      <c r="AB186" s="84"/>
      <c r="AC186" s="84"/>
      <c r="AD186" s="84"/>
      <c r="AE186" s="84"/>
      <c r="AF186" s="84"/>
      <c r="AG186" s="84"/>
      <c r="AH186" s="84"/>
      <c r="AI186" s="84"/>
      <c r="AJ186" s="84"/>
      <c r="AK186" s="84"/>
      <c r="AL186" s="84"/>
      <c r="AM186" s="84"/>
      <c r="AN186" s="84"/>
      <c r="AO186" s="84"/>
      <c r="AP186" s="84"/>
      <c r="AQ186" s="84"/>
      <c r="AR186" s="84"/>
      <c r="AS186" s="84"/>
      <c r="AT186" s="84"/>
      <c r="AU186" s="84"/>
      <c r="AV186" s="84"/>
      <c r="AW186" s="84"/>
      <c r="AX186" s="84"/>
      <c r="AY186" s="84"/>
      <c r="AZ186" s="84"/>
      <c r="BA186" s="84"/>
      <c r="BB186" s="84"/>
      <c r="BC186" s="84"/>
      <c r="BD186" s="84"/>
      <c r="BE186" s="84"/>
      <c r="BF186" s="84"/>
      <c r="BG186" s="84"/>
      <c r="BH186" s="84"/>
      <c r="BI186" s="84"/>
      <c r="BJ186" s="84"/>
      <c r="BK186" s="84"/>
      <c r="BL186" s="84"/>
      <c r="BM186" s="84"/>
      <c r="BN186" s="84"/>
      <c r="BO186" s="84"/>
      <c r="BP186" s="84"/>
      <c r="BQ186" s="84"/>
      <c r="BR186" s="84"/>
      <c r="BS186" s="84"/>
      <c r="BT186" s="84"/>
      <c r="BU186" s="84"/>
      <c r="BV186" s="84"/>
      <c r="BW186" s="84"/>
      <c r="BX186" s="84"/>
      <c r="BY186" s="84"/>
      <c r="BZ186" s="84"/>
      <c r="CA186" s="84"/>
      <c r="CB186" s="84"/>
      <c r="CC186" s="84"/>
      <c r="CD186" s="84"/>
      <c r="CE186" s="84"/>
      <c r="CF186" s="84"/>
      <c r="CG186" s="84"/>
      <c r="CH186" s="84"/>
      <c r="CI186" s="84"/>
      <c r="CJ186" s="84"/>
      <c r="CK186" s="84"/>
      <c r="CL186" s="84"/>
      <c r="CM186" s="84"/>
      <c r="CN186" s="84"/>
      <c r="CO186" s="84"/>
      <c r="CP186" s="84"/>
      <c r="CQ186" s="84"/>
      <c r="CR186" s="84"/>
      <c r="CS186" s="84"/>
      <c r="CT186" s="84"/>
      <c r="CU186" s="84"/>
      <c r="CV186" s="84"/>
      <c r="CW186" s="84"/>
      <c r="CX186" s="84"/>
      <c r="CY186" s="84"/>
      <c r="CZ186" s="84"/>
      <c r="DA186" s="84"/>
      <c r="DB186" s="84"/>
      <c r="DC186" s="84"/>
      <c r="DD186" s="84"/>
      <c r="DE186" s="84"/>
      <c r="DF186" s="84"/>
      <c r="DG186" s="84"/>
      <c r="DH186" s="84"/>
      <c r="DI186" s="84"/>
      <c r="DJ186" s="84"/>
      <c r="DK186" s="84"/>
      <c r="DL186" s="84"/>
      <c r="DM186" s="84"/>
      <c r="DN186" s="84"/>
      <c r="DO186" s="84"/>
      <c r="DP186" s="84"/>
      <c r="DQ186" s="84"/>
      <c r="DR186" s="84"/>
      <c r="DS186" s="84"/>
      <c r="DT186" s="84"/>
      <c r="DU186" s="84"/>
      <c r="DV186" s="84"/>
      <c r="DW186" s="84"/>
      <c r="DX186" s="84"/>
      <c r="DY186" s="84"/>
      <c r="DZ186" s="84"/>
      <c r="EA186" s="84"/>
      <c r="EB186" s="84"/>
      <c r="EC186" s="84"/>
      <c r="ED186" s="84"/>
      <c r="EE186" s="84"/>
      <c r="EF186" s="84"/>
      <c r="EG186" s="84"/>
      <c r="EH186" s="84"/>
      <c r="EI186" s="84"/>
      <c r="EJ186" s="84"/>
      <c r="EK186" s="84"/>
      <c r="EL186" s="84"/>
      <c r="EM186" s="84"/>
      <c r="EN186" s="84"/>
      <c r="EO186" s="84"/>
      <c r="EP186" s="84"/>
      <c r="EQ186" s="84"/>
      <c r="ER186" s="84"/>
      <c r="ES186" s="84"/>
      <c r="ET186" s="84"/>
      <c r="EU186" s="84"/>
      <c r="EV186" s="84"/>
      <c r="EW186" s="84"/>
      <c r="EX186" s="84"/>
      <c r="EY186" s="84"/>
      <c r="EZ186" s="84"/>
      <c r="FA186" s="84"/>
      <c r="FB186" s="84"/>
      <c r="FC186" s="84"/>
      <c r="FD186" s="84"/>
      <c r="FE186" s="84"/>
      <c r="FF186" s="84"/>
      <c r="FG186" s="84"/>
      <c r="FH186" s="84"/>
      <c r="FI186" s="84"/>
      <c r="FJ186" s="84"/>
      <c r="FK186" s="84"/>
      <c r="FL186" s="84"/>
      <c r="FM186" s="84"/>
      <c r="FN186" s="84"/>
      <c r="FO186" s="84"/>
      <c r="FP186" s="84"/>
      <c r="FQ186" s="84"/>
      <c r="FR186" s="84"/>
      <c r="FS186" s="84"/>
      <c r="FT186" s="84"/>
      <c r="FU186" s="84"/>
      <c r="FV186" s="84"/>
      <c r="FW186" s="84"/>
      <c r="FX186" s="84"/>
      <c r="FY186" s="84"/>
      <c r="FZ186" s="84"/>
      <c r="GA186" s="84"/>
      <c r="GB186" s="84"/>
      <c r="GC186" s="84"/>
      <c r="GD186" s="84"/>
      <c r="GE186" s="84"/>
      <c r="GF186" s="84"/>
      <c r="GG186" s="84"/>
      <c r="GH186" s="84"/>
      <c r="GI186" s="84"/>
      <c r="GJ186" s="84"/>
      <c r="GK186" s="84"/>
      <c r="GL186" s="84"/>
      <c r="GM186" s="84"/>
      <c r="GN186" s="84"/>
      <c r="GO186" s="84"/>
      <c r="GP186" s="84"/>
      <c r="GQ186" s="84"/>
      <c r="GR186" s="84"/>
      <c r="GS186" s="84"/>
      <c r="GT186" s="84"/>
      <c r="GU186" s="84"/>
      <c r="GV186" s="84"/>
      <c r="GW186" s="84"/>
      <c r="GX186" s="84"/>
      <c r="GY186" s="84"/>
      <c r="GZ186" s="84"/>
      <c r="HA186" s="84"/>
      <c r="HB186" s="84"/>
      <c r="HC186" s="84"/>
      <c r="HD186" s="84"/>
      <c r="HE186" s="84"/>
      <c r="HF186" s="84"/>
      <c r="HG186" s="84"/>
      <c r="HH186" s="84"/>
      <c r="HI186" s="84"/>
      <c r="HJ186" s="84"/>
      <c r="HK186" s="84"/>
      <c r="HL186" s="84"/>
      <c r="HM186" s="84"/>
      <c r="HN186" s="84"/>
      <c r="HO186" s="84"/>
      <c r="HP186" s="84"/>
      <c r="HQ186" s="84"/>
      <c r="HR186" s="84"/>
      <c r="HS186" s="84"/>
      <c r="HT186" s="84"/>
      <c r="HU186" s="84"/>
      <c r="HV186" s="84"/>
      <c r="HW186" s="84"/>
      <c r="HX186" s="84"/>
      <c r="HY186" s="84"/>
      <c r="HZ186" s="84"/>
      <c r="IA186" s="84"/>
      <c r="IB186" s="84"/>
      <c r="IC186" s="84"/>
      <c r="ID186" s="84"/>
      <c r="IE186" s="84"/>
      <c r="IF186" s="84"/>
      <c r="IG186" s="84"/>
      <c r="IH186" s="84"/>
      <c r="II186" s="84"/>
      <c r="IJ186" s="84"/>
    </row>
    <row r="187" spans="1:244" s="81" customFormat="1" ht="25" x14ac:dyDescent="0.25">
      <c r="A187" s="84"/>
      <c r="B187" s="85" t="s">
        <v>107</v>
      </c>
      <c r="C187" s="41" t="s">
        <v>53</v>
      </c>
      <c r="D187" s="41">
        <f>8+5</f>
        <v>13</v>
      </c>
      <c r="E187" s="45">
        <f>ROUND(PI()/2*38/1000*1.99,2)</f>
        <v>0.12</v>
      </c>
      <c r="F187" s="55">
        <f t="shared" si="43"/>
        <v>1.56</v>
      </c>
      <c r="G187" s="41" t="s">
        <v>53</v>
      </c>
      <c r="H187" s="75">
        <v>0</v>
      </c>
      <c r="I187" s="75">
        <v>0</v>
      </c>
      <c r="J187" s="41">
        <f t="shared" si="44"/>
        <v>0</v>
      </c>
      <c r="K187" s="41">
        <f t="shared" si="44"/>
        <v>0</v>
      </c>
      <c r="L187" s="41">
        <f t="shared" si="45"/>
        <v>0</v>
      </c>
      <c r="M187" s="84"/>
      <c r="N187" s="84"/>
      <c r="O187" s="84"/>
      <c r="P187" s="84"/>
      <c r="Q187" s="84"/>
      <c r="R187" s="84"/>
      <c r="S187" s="84"/>
      <c r="T187" s="84"/>
      <c r="U187" s="84"/>
      <c r="V187" s="84"/>
      <c r="W187" s="84"/>
      <c r="X187" s="84"/>
      <c r="Y187" s="84"/>
      <c r="Z187" s="84"/>
      <c r="AA187" s="84"/>
      <c r="AB187" s="84"/>
      <c r="AC187" s="84"/>
      <c r="AD187" s="84"/>
      <c r="AE187" s="84"/>
      <c r="AF187" s="84"/>
      <c r="AG187" s="84"/>
      <c r="AH187" s="84"/>
      <c r="AI187" s="84"/>
      <c r="AJ187" s="84"/>
      <c r="AK187" s="84"/>
      <c r="AL187" s="84"/>
      <c r="AM187" s="84"/>
      <c r="AN187" s="84"/>
      <c r="AO187" s="84"/>
      <c r="AP187" s="84"/>
      <c r="AQ187" s="84"/>
      <c r="AR187" s="84"/>
      <c r="AS187" s="84"/>
      <c r="AT187" s="84"/>
      <c r="AU187" s="84"/>
      <c r="AV187" s="84"/>
      <c r="AW187" s="84"/>
      <c r="AX187" s="84"/>
      <c r="AY187" s="84"/>
      <c r="AZ187" s="84"/>
      <c r="BA187" s="84"/>
      <c r="BB187" s="84"/>
      <c r="BC187" s="84"/>
      <c r="BD187" s="84"/>
      <c r="BE187" s="84"/>
      <c r="BF187" s="84"/>
      <c r="BG187" s="84"/>
      <c r="BH187" s="84"/>
      <c r="BI187" s="84"/>
      <c r="BJ187" s="84"/>
      <c r="BK187" s="84"/>
      <c r="BL187" s="84"/>
      <c r="BM187" s="84"/>
      <c r="BN187" s="84"/>
      <c r="BO187" s="84"/>
      <c r="BP187" s="84"/>
      <c r="BQ187" s="84"/>
      <c r="BR187" s="84"/>
      <c r="BS187" s="84"/>
      <c r="BT187" s="84"/>
      <c r="BU187" s="84"/>
      <c r="BV187" s="84"/>
      <c r="BW187" s="84"/>
      <c r="BX187" s="84"/>
      <c r="BY187" s="84"/>
      <c r="BZ187" s="84"/>
      <c r="CA187" s="84"/>
      <c r="CB187" s="84"/>
      <c r="CC187" s="84"/>
      <c r="CD187" s="84"/>
      <c r="CE187" s="84"/>
      <c r="CF187" s="84"/>
      <c r="CG187" s="84"/>
      <c r="CH187" s="84"/>
      <c r="CI187" s="84"/>
      <c r="CJ187" s="84"/>
      <c r="CK187" s="84"/>
      <c r="CL187" s="84"/>
      <c r="CM187" s="84"/>
      <c r="CN187" s="84"/>
      <c r="CO187" s="84"/>
      <c r="CP187" s="84"/>
      <c r="CQ187" s="84"/>
      <c r="CR187" s="84"/>
      <c r="CS187" s="84"/>
      <c r="CT187" s="84"/>
      <c r="CU187" s="84"/>
      <c r="CV187" s="84"/>
      <c r="CW187" s="84"/>
      <c r="CX187" s="84"/>
      <c r="CY187" s="84"/>
      <c r="CZ187" s="84"/>
      <c r="DA187" s="84"/>
      <c r="DB187" s="84"/>
      <c r="DC187" s="84"/>
      <c r="DD187" s="84"/>
      <c r="DE187" s="84"/>
      <c r="DF187" s="84"/>
      <c r="DG187" s="84"/>
      <c r="DH187" s="84"/>
      <c r="DI187" s="84"/>
      <c r="DJ187" s="84"/>
      <c r="DK187" s="84"/>
      <c r="DL187" s="84"/>
      <c r="DM187" s="84"/>
      <c r="DN187" s="84"/>
      <c r="DO187" s="84"/>
      <c r="DP187" s="84"/>
      <c r="DQ187" s="84"/>
      <c r="DR187" s="84"/>
      <c r="DS187" s="84"/>
      <c r="DT187" s="84"/>
      <c r="DU187" s="84"/>
      <c r="DV187" s="84"/>
      <c r="DW187" s="84"/>
      <c r="DX187" s="84"/>
      <c r="DY187" s="84"/>
      <c r="DZ187" s="84"/>
      <c r="EA187" s="84"/>
      <c r="EB187" s="84"/>
      <c r="EC187" s="84"/>
      <c r="ED187" s="84"/>
      <c r="EE187" s="84"/>
      <c r="EF187" s="84"/>
      <c r="EG187" s="84"/>
      <c r="EH187" s="84"/>
      <c r="EI187" s="84"/>
      <c r="EJ187" s="84"/>
      <c r="EK187" s="84"/>
      <c r="EL187" s="84"/>
      <c r="EM187" s="84"/>
      <c r="EN187" s="84"/>
      <c r="EO187" s="84"/>
      <c r="EP187" s="84"/>
      <c r="EQ187" s="84"/>
      <c r="ER187" s="84"/>
      <c r="ES187" s="84"/>
      <c r="ET187" s="84"/>
      <c r="EU187" s="84"/>
      <c r="EV187" s="84"/>
      <c r="EW187" s="84"/>
      <c r="EX187" s="84"/>
      <c r="EY187" s="84"/>
      <c r="EZ187" s="84"/>
      <c r="FA187" s="84"/>
      <c r="FB187" s="84"/>
      <c r="FC187" s="84"/>
      <c r="FD187" s="84"/>
      <c r="FE187" s="84"/>
      <c r="FF187" s="84"/>
      <c r="FG187" s="84"/>
      <c r="FH187" s="84"/>
      <c r="FI187" s="84"/>
      <c r="FJ187" s="84"/>
      <c r="FK187" s="84"/>
      <c r="FL187" s="84"/>
      <c r="FM187" s="84"/>
      <c r="FN187" s="84"/>
      <c r="FO187" s="84"/>
      <c r="FP187" s="84"/>
      <c r="FQ187" s="84"/>
      <c r="FR187" s="84"/>
      <c r="FS187" s="84"/>
      <c r="FT187" s="84"/>
      <c r="FU187" s="84"/>
      <c r="FV187" s="84"/>
      <c r="FW187" s="84"/>
      <c r="FX187" s="84"/>
      <c r="FY187" s="84"/>
      <c r="FZ187" s="84"/>
      <c r="GA187" s="84"/>
      <c r="GB187" s="84"/>
      <c r="GC187" s="84"/>
      <c r="GD187" s="84"/>
      <c r="GE187" s="84"/>
      <c r="GF187" s="84"/>
      <c r="GG187" s="84"/>
      <c r="GH187" s="84"/>
      <c r="GI187" s="84"/>
      <c r="GJ187" s="84"/>
      <c r="GK187" s="84"/>
      <c r="GL187" s="84"/>
      <c r="GM187" s="84"/>
      <c r="GN187" s="84"/>
      <c r="GO187" s="84"/>
      <c r="GP187" s="84"/>
      <c r="GQ187" s="84"/>
      <c r="GR187" s="84"/>
      <c r="GS187" s="84"/>
      <c r="GT187" s="84"/>
      <c r="GU187" s="84"/>
      <c r="GV187" s="84"/>
      <c r="GW187" s="84"/>
      <c r="GX187" s="84"/>
      <c r="GY187" s="84"/>
      <c r="GZ187" s="84"/>
      <c r="HA187" s="84"/>
      <c r="HB187" s="84"/>
      <c r="HC187" s="84"/>
      <c r="HD187" s="84"/>
      <c r="HE187" s="84"/>
      <c r="HF187" s="84"/>
      <c r="HG187" s="84"/>
      <c r="HH187" s="84"/>
      <c r="HI187" s="84"/>
      <c r="HJ187" s="84"/>
      <c r="HK187" s="84"/>
      <c r="HL187" s="84"/>
      <c r="HM187" s="84"/>
      <c r="HN187" s="84"/>
      <c r="HO187" s="84"/>
      <c r="HP187" s="84"/>
      <c r="HQ187" s="84"/>
      <c r="HR187" s="84"/>
      <c r="HS187" s="84"/>
      <c r="HT187" s="84"/>
      <c r="HU187" s="84"/>
      <c r="HV187" s="84"/>
      <c r="HW187" s="84"/>
      <c r="HX187" s="84"/>
      <c r="HY187" s="84"/>
      <c r="HZ187" s="84"/>
      <c r="IA187" s="84"/>
      <c r="IB187" s="84"/>
      <c r="IC187" s="84"/>
      <c r="ID187" s="84"/>
      <c r="IE187" s="84"/>
      <c r="IF187" s="84"/>
      <c r="IG187" s="84"/>
      <c r="IH187" s="84"/>
      <c r="II187" s="84"/>
      <c r="IJ187" s="84"/>
    </row>
    <row r="188" spans="1:244" ht="25" x14ac:dyDescent="0.25">
      <c r="A188" s="84"/>
      <c r="B188" s="85" t="s">
        <v>108</v>
      </c>
      <c r="C188" s="41" t="s">
        <v>53</v>
      </c>
      <c r="D188" s="41">
        <f>3+8</f>
        <v>11</v>
      </c>
      <c r="E188" s="45">
        <f>ROUND(PI()/2*48/1000*2.55,2)</f>
        <v>0.19</v>
      </c>
      <c r="F188" s="55">
        <f t="shared" si="43"/>
        <v>2.09</v>
      </c>
      <c r="G188" s="41" t="s">
        <v>53</v>
      </c>
      <c r="H188" s="75">
        <v>0</v>
      </c>
      <c r="I188" s="75">
        <v>0</v>
      </c>
      <c r="J188" s="41">
        <f t="shared" ref="J188:K212" si="46">$D188*H188</f>
        <v>0</v>
      </c>
      <c r="K188" s="41">
        <f t="shared" ref="K188:K199" si="47">$D188*I188</f>
        <v>0</v>
      </c>
      <c r="L188" s="41">
        <f t="shared" si="45"/>
        <v>0</v>
      </c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  <c r="Z188" s="84"/>
      <c r="AA188" s="84"/>
      <c r="AB188" s="84"/>
      <c r="AC188" s="84"/>
      <c r="AD188" s="84"/>
      <c r="AE188" s="84"/>
      <c r="AF188" s="84"/>
      <c r="AG188" s="84"/>
      <c r="AH188" s="84"/>
      <c r="AI188" s="84"/>
      <c r="AJ188" s="84"/>
      <c r="AK188" s="84"/>
      <c r="AL188" s="84"/>
      <c r="AM188" s="84"/>
      <c r="AN188" s="84"/>
      <c r="AO188" s="84"/>
      <c r="AP188" s="84"/>
      <c r="AQ188" s="84"/>
      <c r="AR188" s="84"/>
      <c r="AS188" s="84"/>
      <c r="AT188" s="84"/>
      <c r="AU188" s="84"/>
      <c r="AV188" s="84"/>
      <c r="AW188" s="84"/>
      <c r="AX188" s="84"/>
      <c r="AY188" s="84"/>
      <c r="AZ188" s="84"/>
      <c r="BA188" s="84"/>
      <c r="BB188" s="84"/>
      <c r="BC188" s="84"/>
      <c r="BD188" s="84"/>
      <c r="BE188" s="84"/>
      <c r="BF188" s="84"/>
      <c r="BG188" s="84"/>
      <c r="BH188" s="84"/>
      <c r="BI188" s="84"/>
      <c r="BJ188" s="84"/>
      <c r="BK188" s="84"/>
      <c r="BL188" s="84"/>
      <c r="BM188" s="84"/>
      <c r="BN188" s="84"/>
      <c r="BO188" s="84"/>
      <c r="BP188" s="84"/>
      <c r="BQ188" s="84"/>
      <c r="BR188" s="84"/>
      <c r="BS188" s="84"/>
      <c r="BT188" s="84"/>
      <c r="BU188" s="84"/>
      <c r="BV188" s="84"/>
      <c r="BW188" s="84"/>
      <c r="BX188" s="84"/>
      <c r="BY188" s="84"/>
      <c r="BZ188" s="84"/>
      <c r="CA188" s="84"/>
      <c r="CB188" s="84"/>
      <c r="CC188" s="84"/>
      <c r="CD188" s="84"/>
      <c r="CE188" s="84"/>
      <c r="CF188" s="84"/>
      <c r="CG188" s="84"/>
      <c r="CH188" s="84"/>
      <c r="CI188" s="84"/>
      <c r="CJ188" s="84"/>
      <c r="CK188" s="84"/>
      <c r="CL188" s="84"/>
      <c r="CM188" s="84"/>
      <c r="CN188" s="84"/>
      <c r="CO188" s="84"/>
      <c r="CP188" s="84"/>
      <c r="CQ188" s="84"/>
      <c r="CR188" s="84"/>
      <c r="CS188" s="84"/>
      <c r="CT188" s="84"/>
      <c r="CU188" s="84"/>
      <c r="CV188" s="84"/>
      <c r="CW188" s="84"/>
      <c r="CX188" s="84"/>
      <c r="CY188" s="84"/>
      <c r="CZ188" s="84"/>
      <c r="DA188" s="84"/>
      <c r="DB188" s="84"/>
      <c r="DC188" s="84"/>
      <c r="DD188" s="84"/>
      <c r="DE188" s="84"/>
      <c r="DF188" s="84"/>
      <c r="DG188" s="84"/>
      <c r="DH188" s="84"/>
      <c r="DI188" s="84"/>
      <c r="DJ188" s="84"/>
      <c r="DK188" s="84"/>
      <c r="DL188" s="84"/>
      <c r="DM188" s="84"/>
      <c r="DN188" s="84"/>
      <c r="DO188" s="84"/>
      <c r="DP188" s="84"/>
      <c r="DQ188" s="84"/>
      <c r="DR188" s="84"/>
      <c r="DS188" s="84"/>
      <c r="DT188" s="84"/>
      <c r="DU188" s="84"/>
      <c r="DV188" s="84"/>
      <c r="DW188" s="84"/>
      <c r="DX188" s="84"/>
      <c r="DY188" s="84"/>
      <c r="DZ188" s="84"/>
      <c r="EA188" s="84"/>
      <c r="EB188" s="84"/>
      <c r="EC188" s="84"/>
      <c r="ED188" s="84"/>
      <c r="EE188" s="84"/>
      <c r="EF188" s="84"/>
      <c r="EG188" s="84"/>
      <c r="EH188" s="84"/>
      <c r="EI188" s="84"/>
      <c r="EJ188" s="84"/>
      <c r="EK188" s="84"/>
      <c r="EL188" s="84"/>
      <c r="EM188" s="84"/>
      <c r="EN188" s="84"/>
      <c r="EO188" s="84"/>
      <c r="EP188" s="84"/>
      <c r="EQ188" s="84"/>
      <c r="ER188" s="84"/>
      <c r="ES188" s="84"/>
      <c r="ET188" s="84"/>
      <c r="EU188" s="84"/>
      <c r="EV188" s="84"/>
      <c r="EW188" s="84"/>
      <c r="EX188" s="84"/>
      <c r="EY188" s="84"/>
      <c r="EZ188" s="84"/>
      <c r="FA188" s="84"/>
      <c r="FB188" s="84"/>
      <c r="FC188" s="84"/>
      <c r="FD188" s="84"/>
      <c r="FE188" s="84"/>
      <c r="FF188" s="84"/>
      <c r="FG188" s="84"/>
      <c r="FH188" s="84"/>
      <c r="FI188" s="84"/>
      <c r="FJ188" s="84"/>
      <c r="FK188" s="84"/>
      <c r="FL188" s="84"/>
      <c r="FM188" s="84"/>
      <c r="FN188" s="84"/>
      <c r="FO188" s="84"/>
      <c r="FP188" s="84"/>
      <c r="FQ188" s="84"/>
      <c r="FR188" s="84"/>
      <c r="FS188" s="84"/>
      <c r="FT188" s="84"/>
      <c r="FU188" s="84"/>
      <c r="FV188" s="84"/>
      <c r="FW188" s="84"/>
      <c r="FX188" s="84"/>
      <c r="FY188" s="84"/>
      <c r="FZ188" s="84"/>
      <c r="GA188" s="84"/>
      <c r="GB188" s="84"/>
      <c r="GC188" s="84"/>
      <c r="GD188" s="84"/>
      <c r="GE188" s="84"/>
      <c r="GF188" s="84"/>
      <c r="GG188" s="84"/>
      <c r="GH188" s="84"/>
      <c r="GI188" s="84"/>
      <c r="GJ188" s="84"/>
      <c r="GK188" s="84"/>
      <c r="GL188" s="84"/>
      <c r="GM188" s="84"/>
      <c r="GN188" s="84"/>
      <c r="GO188" s="84"/>
      <c r="GP188" s="84"/>
      <c r="GQ188" s="84"/>
      <c r="GR188" s="84"/>
      <c r="GS188" s="84"/>
      <c r="GT188" s="84"/>
      <c r="GU188" s="84"/>
      <c r="GV188" s="84"/>
      <c r="GW188" s="84"/>
      <c r="GX188" s="84"/>
      <c r="GY188" s="84"/>
      <c r="GZ188" s="84"/>
      <c r="HA188" s="84"/>
      <c r="HB188" s="84"/>
      <c r="HC188" s="84"/>
      <c r="HD188" s="84"/>
      <c r="HE188" s="84"/>
      <c r="HF188" s="84"/>
      <c r="HG188" s="84"/>
      <c r="HH188" s="84"/>
      <c r="HI188" s="84"/>
      <c r="HJ188" s="84"/>
      <c r="HK188" s="84"/>
      <c r="HL188" s="84"/>
      <c r="HM188" s="84"/>
      <c r="HN188" s="84"/>
      <c r="HO188" s="84"/>
      <c r="HP188" s="84"/>
      <c r="HQ188" s="84"/>
      <c r="HR188" s="84"/>
      <c r="HS188" s="84"/>
      <c r="HT188" s="84"/>
      <c r="HU188" s="84"/>
      <c r="HV188" s="84"/>
      <c r="HW188" s="84"/>
      <c r="HX188" s="84"/>
      <c r="HY188" s="84"/>
      <c r="HZ188" s="84"/>
      <c r="IA188" s="84"/>
      <c r="IB188" s="84"/>
      <c r="IC188" s="84"/>
      <c r="ID188" s="84"/>
      <c r="IE188" s="84"/>
      <c r="IF188" s="84"/>
      <c r="IG188" s="84"/>
      <c r="IH188" s="84"/>
      <c r="II188" s="84"/>
      <c r="IJ188" s="84"/>
    </row>
    <row r="189" spans="1:244" ht="25" x14ac:dyDescent="0.25">
      <c r="A189" s="84"/>
      <c r="B189" s="85" t="s">
        <v>109</v>
      </c>
      <c r="C189" s="41" t="s">
        <v>53</v>
      </c>
      <c r="D189" s="41">
        <f>2+3+8+9</f>
        <v>22</v>
      </c>
      <c r="E189" s="45">
        <f>ROUND(PI()/2*76/1000*4.11,2)</f>
        <v>0.49</v>
      </c>
      <c r="F189" s="55">
        <f t="shared" si="43"/>
        <v>10.78</v>
      </c>
      <c r="G189" s="41" t="s">
        <v>53</v>
      </c>
      <c r="H189" s="75">
        <v>0</v>
      </c>
      <c r="I189" s="75">
        <v>0</v>
      </c>
      <c r="J189" s="41">
        <f t="shared" si="46"/>
        <v>0</v>
      </c>
      <c r="K189" s="41">
        <f t="shared" si="47"/>
        <v>0</v>
      </c>
      <c r="L189" s="41">
        <f t="shared" si="45"/>
        <v>0</v>
      </c>
      <c r="M189" s="84"/>
      <c r="N189" s="84"/>
      <c r="O189" s="84"/>
      <c r="P189" s="84"/>
      <c r="Q189" s="84"/>
      <c r="R189" s="84"/>
      <c r="S189" s="84"/>
      <c r="T189" s="84"/>
      <c r="U189" s="84"/>
      <c r="V189" s="84"/>
      <c r="W189" s="84"/>
      <c r="X189" s="84"/>
      <c r="Y189" s="84"/>
      <c r="Z189" s="84"/>
      <c r="AA189" s="84"/>
      <c r="AB189" s="84"/>
      <c r="AC189" s="84"/>
      <c r="AD189" s="84"/>
      <c r="AE189" s="84"/>
      <c r="AF189" s="84"/>
      <c r="AG189" s="84"/>
      <c r="AH189" s="84"/>
      <c r="AI189" s="84"/>
      <c r="AJ189" s="84"/>
      <c r="AK189" s="84"/>
      <c r="AL189" s="84"/>
      <c r="AM189" s="84"/>
      <c r="AN189" s="84"/>
      <c r="AO189" s="84"/>
      <c r="AP189" s="84"/>
      <c r="AQ189" s="84"/>
      <c r="AR189" s="84"/>
      <c r="AS189" s="84"/>
      <c r="AT189" s="84"/>
      <c r="AU189" s="84"/>
      <c r="AV189" s="84"/>
      <c r="AW189" s="84"/>
      <c r="AX189" s="84"/>
      <c r="AY189" s="84"/>
      <c r="AZ189" s="84"/>
      <c r="BA189" s="84"/>
      <c r="BB189" s="84"/>
      <c r="BC189" s="84"/>
      <c r="BD189" s="84"/>
      <c r="BE189" s="84"/>
      <c r="BF189" s="84"/>
      <c r="BG189" s="84"/>
      <c r="BH189" s="84"/>
      <c r="BI189" s="84"/>
      <c r="BJ189" s="84"/>
      <c r="BK189" s="84"/>
      <c r="BL189" s="84"/>
      <c r="BM189" s="84"/>
      <c r="BN189" s="84"/>
      <c r="BO189" s="84"/>
      <c r="BP189" s="84"/>
      <c r="BQ189" s="84"/>
      <c r="BR189" s="84"/>
      <c r="BS189" s="84"/>
      <c r="BT189" s="84"/>
      <c r="BU189" s="84"/>
      <c r="BV189" s="84"/>
      <c r="BW189" s="84"/>
      <c r="BX189" s="84"/>
      <c r="BY189" s="84"/>
      <c r="BZ189" s="84"/>
      <c r="CA189" s="84"/>
      <c r="CB189" s="84"/>
      <c r="CC189" s="84"/>
      <c r="CD189" s="84"/>
      <c r="CE189" s="84"/>
      <c r="CF189" s="84"/>
      <c r="CG189" s="84"/>
      <c r="CH189" s="84"/>
      <c r="CI189" s="84"/>
      <c r="CJ189" s="84"/>
      <c r="CK189" s="84"/>
      <c r="CL189" s="84"/>
      <c r="CM189" s="84"/>
      <c r="CN189" s="84"/>
      <c r="CO189" s="84"/>
      <c r="CP189" s="84"/>
      <c r="CQ189" s="84"/>
      <c r="CR189" s="84"/>
      <c r="CS189" s="84"/>
      <c r="CT189" s="84"/>
      <c r="CU189" s="84"/>
      <c r="CV189" s="84"/>
      <c r="CW189" s="84"/>
      <c r="CX189" s="84"/>
      <c r="CY189" s="84"/>
      <c r="CZ189" s="84"/>
      <c r="DA189" s="84"/>
      <c r="DB189" s="84"/>
      <c r="DC189" s="84"/>
      <c r="DD189" s="84"/>
      <c r="DE189" s="84"/>
      <c r="DF189" s="84"/>
      <c r="DG189" s="84"/>
      <c r="DH189" s="84"/>
      <c r="DI189" s="84"/>
      <c r="DJ189" s="84"/>
      <c r="DK189" s="84"/>
      <c r="DL189" s="84"/>
      <c r="DM189" s="84"/>
      <c r="DN189" s="84"/>
      <c r="DO189" s="84"/>
      <c r="DP189" s="84"/>
      <c r="DQ189" s="84"/>
      <c r="DR189" s="84"/>
      <c r="DS189" s="84"/>
      <c r="DT189" s="84"/>
      <c r="DU189" s="84"/>
      <c r="DV189" s="84"/>
      <c r="DW189" s="84"/>
      <c r="DX189" s="84"/>
      <c r="DY189" s="84"/>
      <c r="DZ189" s="84"/>
      <c r="EA189" s="84"/>
      <c r="EB189" s="84"/>
      <c r="EC189" s="84"/>
      <c r="ED189" s="84"/>
      <c r="EE189" s="84"/>
      <c r="EF189" s="84"/>
      <c r="EG189" s="84"/>
      <c r="EH189" s="84"/>
      <c r="EI189" s="84"/>
      <c r="EJ189" s="84"/>
      <c r="EK189" s="84"/>
      <c r="EL189" s="84"/>
      <c r="EM189" s="84"/>
      <c r="EN189" s="84"/>
      <c r="EO189" s="84"/>
      <c r="EP189" s="84"/>
      <c r="EQ189" s="84"/>
      <c r="ER189" s="84"/>
      <c r="ES189" s="84"/>
      <c r="ET189" s="84"/>
      <c r="EU189" s="84"/>
      <c r="EV189" s="84"/>
      <c r="EW189" s="84"/>
      <c r="EX189" s="84"/>
      <c r="EY189" s="84"/>
      <c r="EZ189" s="84"/>
      <c r="FA189" s="84"/>
      <c r="FB189" s="84"/>
      <c r="FC189" s="84"/>
      <c r="FD189" s="84"/>
      <c r="FE189" s="84"/>
      <c r="FF189" s="84"/>
      <c r="FG189" s="84"/>
      <c r="FH189" s="84"/>
      <c r="FI189" s="84"/>
      <c r="FJ189" s="84"/>
      <c r="FK189" s="84"/>
      <c r="FL189" s="84"/>
      <c r="FM189" s="84"/>
      <c r="FN189" s="84"/>
      <c r="FO189" s="84"/>
      <c r="FP189" s="84"/>
      <c r="FQ189" s="84"/>
      <c r="FR189" s="84"/>
      <c r="FS189" s="84"/>
      <c r="FT189" s="84"/>
      <c r="FU189" s="84"/>
      <c r="FV189" s="84"/>
      <c r="FW189" s="84"/>
      <c r="FX189" s="84"/>
      <c r="FY189" s="84"/>
      <c r="FZ189" s="84"/>
      <c r="GA189" s="84"/>
      <c r="GB189" s="84"/>
      <c r="GC189" s="84"/>
      <c r="GD189" s="84"/>
      <c r="GE189" s="84"/>
      <c r="GF189" s="84"/>
      <c r="GG189" s="84"/>
      <c r="GH189" s="84"/>
      <c r="GI189" s="84"/>
      <c r="GJ189" s="84"/>
      <c r="GK189" s="84"/>
      <c r="GL189" s="84"/>
      <c r="GM189" s="84"/>
      <c r="GN189" s="84"/>
      <c r="GO189" s="84"/>
      <c r="GP189" s="84"/>
      <c r="GQ189" s="84"/>
      <c r="GR189" s="84"/>
      <c r="GS189" s="84"/>
      <c r="GT189" s="84"/>
      <c r="GU189" s="84"/>
      <c r="GV189" s="84"/>
      <c r="GW189" s="84"/>
      <c r="GX189" s="84"/>
      <c r="GY189" s="84"/>
      <c r="GZ189" s="84"/>
      <c r="HA189" s="84"/>
      <c r="HB189" s="84"/>
      <c r="HC189" s="84"/>
      <c r="HD189" s="84"/>
      <c r="HE189" s="84"/>
      <c r="HF189" s="84"/>
      <c r="HG189" s="84"/>
      <c r="HH189" s="84"/>
      <c r="HI189" s="84"/>
      <c r="HJ189" s="84"/>
      <c r="HK189" s="84"/>
      <c r="HL189" s="84"/>
      <c r="HM189" s="84"/>
      <c r="HN189" s="84"/>
      <c r="HO189" s="84"/>
      <c r="HP189" s="84"/>
      <c r="HQ189" s="84"/>
      <c r="HR189" s="84"/>
      <c r="HS189" s="84"/>
      <c r="HT189" s="84"/>
      <c r="HU189" s="84"/>
      <c r="HV189" s="84"/>
      <c r="HW189" s="84"/>
      <c r="HX189" s="84"/>
      <c r="HY189" s="84"/>
      <c r="HZ189" s="84"/>
      <c r="IA189" s="84"/>
      <c r="IB189" s="84"/>
      <c r="IC189" s="84"/>
      <c r="ID189" s="84"/>
      <c r="IE189" s="84"/>
      <c r="IF189" s="84"/>
      <c r="IG189" s="84"/>
      <c r="IH189" s="84"/>
      <c r="II189" s="84"/>
      <c r="IJ189" s="84"/>
    </row>
    <row r="190" spans="1:244" s="84" customFormat="1" ht="25" x14ac:dyDescent="0.25">
      <c r="B190" s="85" t="s">
        <v>110</v>
      </c>
      <c r="C190" s="41" t="s">
        <v>53</v>
      </c>
      <c r="D190" s="41">
        <f>3+3+5+2+1+5+5</f>
        <v>24</v>
      </c>
      <c r="E190" s="45">
        <f>ROUND(PI()/2*95/1000*5.75,2)</f>
        <v>0.86</v>
      </c>
      <c r="F190" s="55">
        <f t="shared" si="43"/>
        <v>20.64</v>
      </c>
      <c r="G190" s="41" t="s">
        <v>53</v>
      </c>
      <c r="H190" s="75">
        <v>0</v>
      </c>
      <c r="I190" s="75">
        <v>0</v>
      </c>
      <c r="J190" s="41">
        <f t="shared" si="46"/>
        <v>0</v>
      </c>
      <c r="K190" s="41">
        <f t="shared" si="47"/>
        <v>0</v>
      </c>
      <c r="L190" s="41">
        <f t="shared" si="45"/>
        <v>0</v>
      </c>
    </row>
    <row r="191" spans="1:244" s="81" customFormat="1" ht="25" x14ac:dyDescent="0.25">
      <c r="A191" s="84"/>
      <c r="B191" s="85" t="s">
        <v>135</v>
      </c>
      <c r="C191" s="41" t="s">
        <v>53</v>
      </c>
      <c r="D191" s="41">
        <f>2+3+9</f>
        <v>14</v>
      </c>
      <c r="E191" s="45">
        <f>ROUND(PI()/2*114/1000*7.57,2)</f>
        <v>1.36</v>
      </c>
      <c r="F191" s="41">
        <f t="shared" si="43"/>
        <v>19.040000000000003</v>
      </c>
      <c r="G191" s="41" t="s">
        <v>53</v>
      </c>
      <c r="H191" s="75">
        <v>0</v>
      </c>
      <c r="I191" s="75">
        <v>0</v>
      </c>
      <c r="J191" s="41">
        <f t="shared" si="46"/>
        <v>0</v>
      </c>
      <c r="K191" s="41">
        <f t="shared" si="47"/>
        <v>0</v>
      </c>
      <c r="L191" s="41">
        <f t="shared" si="45"/>
        <v>0</v>
      </c>
      <c r="M191" s="84"/>
      <c r="N191" s="84"/>
      <c r="O191" s="84"/>
      <c r="P191" s="84"/>
      <c r="Q191" s="84"/>
      <c r="R191" s="84"/>
      <c r="S191" s="84"/>
      <c r="T191" s="84"/>
      <c r="U191" s="84"/>
      <c r="V191" s="84"/>
      <c r="W191" s="84"/>
      <c r="X191" s="84"/>
      <c r="Y191" s="84"/>
      <c r="Z191" s="84"/>
      <c r="AA191" s="84"/>
      <c r="AB191" s="84"/>
      <c r="AC191" s="84"/>
      <c r="AD191" s="84"/>
      <c r="AE191" s="84"/>
      <c r="AF191" s="84"/>
      <c r="AG191" s="84"/>
      <c r="AH191" s="84"/>
      <c r="AI191" s="84"/>
      <c r="AJ191" s="84"/>
      <c r="AK191" s="84"/>
      <c r="AL191" s="84"/>
      <c r="AM191" s="84"/>
      <c r="AN191" s="84"/>
      <c r="AO191" s="84"/>
      <c r="AP191" s="84"/>
      <c r="AQ191" s="84"/>
      <c r="AR191" s="84"/>
      <c r="AS191" s="84"/>
      <c r="AT191" s="84"/>
      <c r="AU191" s="84"/>
      <c r="AV191" s="84"/>
      <c r="AW191" s="84"/>
      <c r="AX191" s="84"/>
      <c r="AY191" s="84"/>
      <c r="AZ191" s="84"/>
      <c r="BA191" s="84"/>
      <c r="BB191" s="84"/>
      <c r="BC191" s="84"/>
      <c r="BD191" s="84"/>
      <c r="BE191" s="84"/>
      <c r="BF191" s="84"/>
      <c r="BG191" s="84"/>
      <c r="BH191" s="84"/>
      <c r="BI191" s="84"/>
      <c r="BJ191" s="84"/>
      <c r="BK191" s="84"/>
      <c r="BL191" s="84"/>
      <c r="BM191" s="84"/>
      <c r="BN191" s="84"/>
      <c r="BO191" s="84"/>
      <c r="BP191" s="84"/>
      <c r="BQ191" s="84"/>
      <c r="BR191" s="84"/>
      <c r="BS191" s="84"/>
      <c r="BT191" s="84"/>
      <c r="BU191" s="84"/>
      <c r="BV191" s="84"/>
      <c r="BW191" s="84"/>
      <c r="BX191" s="84"/>
      <c r="BY191" s="84"/>
      <c r="BZ191" s="84"/>
      <c r="CA191" s="84"/>
      <c r="CB191" s="84"/>
      <c r="CC191" s="84"/>
      <c r="CD191" s="84"/>
      <c r="CE191" s="84"/>
      <c r="CF191" s="84"/>
      <c r="CG191" s="84"/>
      <c r="CH191" s="84"/>
      <c r="CI191" s="84"/>
      <c r="CJ191" s="84"/>
      <c r="CK191" s="84"/>
      <c r="CL191" s="84"/>
      <c r="CM191" s="84"/>
      <c r="CN191" s="84"/>
      <c r="CO191" s="84"/>
      <c r="CP191" s="84"/>
      <c r="CQ191" s="84"/>
      <c r="CR191" s="84"/>
      <c r="CS191" s="84"/>
      <c r="CT191" s="84"/>
      <c r="CU191" s="84"/>
      <c r="CV191" s="84"/>
      <c r="CW191" s="84"/>
      <c r="CX191" s="84"/>
      <c r="CY191" s="84"/>
      <c r="CZ191" s="84"/>
      <c r="DA191" s="84"/>
      <c r="DB191" s="84"/>
      <c r="DC191" s="84"/>
      <c r="DD191" s="84"/>
      <c r="DE191" s="84"/>
      <c r="DF191" s="84"/>
      <c r="DG191" s="84"/>
      <c r="DH191" s="84"/>
      <c r="DI191" s="84"/>
      <c r="DJ191" s="84"/>
      <c r="DK191" s="84"/>
      <c r="DL191" s="84"/>
      <c r="DM191" s="84"/>
      <c r="DN191" s="84"/>
      <c r="DO191" s="84"/>
      <c r="DP191" s="84"/>
      <c r="DQ191" s="84"/>
      <c r="DR191" s="84"/>
      <c r="DS191" s="84"/>
      <c r="DT191" s="84"/>
      <c r="DU191" s="84"/>
      <c r="DV191" s="84"/>
      <c r="DW191" s="84"/>
      <c r="DX191" s="84"/>
      <c r="DY191" s="84"/>
      <c r="DZ191" s="84"/>
      <c r="EA191" s="84"/>
      <c r="EB191" s="84"/>
      <c r="EC191" s="84"/>
      <c r="ED191" s="84"/>
      <c r="EE191" s="84"/>
      <c r="EF191" s="84"/>
      <c r="EG191" s="84"/>
      <c r="EH191" s="84"/>
      <c r="EI191" s="84"/>
      <c r="EJ191" s="84"/>
      <c r="EK191" s="84"/>
      <c r="EL191" s="84"/>
      <c r="EM191" s="84"/>
      <c r="EN191" s="84"/>
      <c r="EO191" s="84"/>
      <c r="EP191" s="84"/>
      <c r="EQ191" s="84"/>
      <c r="ER191" s="84"/>
      <c r="ES191" s="84"/>
      <c r="ET191" s="84"/>
      <c r="EU191" s="84"/>
      <c r="EV191" s="84"/>
      <c r="EW191" s="84"/>
      <c r="EX191" s="84"/>
      <c r="EY191" s="84"/>
      <c r="EZ191" s="84"/>
      <c r="FA191" s="84"/>
      <c r="FB191" s="84"/>
      <c r="FC191" s="84"/>
      <c r="FD191" s="84"/>
      <c r="FE191" s="84"/>
      <c r="FF191" s="84"/>
      <c r="FG191" s="84"/>
      <c r="FH191" s="84"/>
      <c r="FI191" s="84"/>
      <c r="FJ191" s="84"/>
      <c r="FK191" s="84"/>
      <c r="FL191" s="84"/>
      <c r="FM191" s="84"/>
      <c r="FN191" s="84"/>
      <c r="FO191" s="84"/>
      <c r="FP191" s="84"/>
      <c r="FQ191" s="84"/>
      <c r="FR191" s="84"/>
      <c r="FS191" s="84"/>
      <c r="FT191" s="84"/>
      <c r="FU191" s="84"/>
      <c r="FV191" s="84"/>
      <c r="FW191" s="84"/>
      <c r="FX191" s="84"/>
      <c r="FY191" s="84"/>
      <c r="FZ191" s="84"/>
      <c r="GA191" s="84"/>
      <c r="GB191" s="84"/>
      <c r="GC191" s="84"/>
      <c r="GD191" s="84"/>
      <c r="GE191" s="84"/>
      <c r="GF191" s="84"/>
      <c r="GG191" s="84"/>
      <c r="GH191" s="84"/>
      <c r="GI191" s="84"/>
      <c r="GJ191" s="84"/>
      <c r="GK191" s="84"/>
      <c r="GL191" s="84"/>
      <c r="GM191" s="84"/>
      <c r="GN191" s="84"/>
      <c r="GO191" s="84"/>
      <c r="GP191" s="84"/>
      <c r="GQ191" s="84"/>
      <c r="GR191" s="84"/>
      <c r="GS191" s="84"/>
      <c r="GT191" s="84"/>
      <c r="GU191" s="84"/>
      <c r="GV191" s="84"/>
      <c r="GW191" s="84"/>
      <c r="GX191" s="84"/>
      <c r="GY191" s="84"/>
      <c r="GZ191" s="84"/>
      <c r="HA191" s="84"/>
      <c r="HB191" s="84"/>
      <c r="HC191" s="84"/>
      <c r="HD191" s="84"/>
      <c r="HE191" s="84"/>
      <c r="HF191" s="84"/>
      <c r="HG191" s="84"/>
      <c r="HH191" s="84"/>
      <c r="HI191" s="84"/>
      <c r="HJ191" s="84"/>
      <c r="HK191" s="84"/>
      <c r="HL191" s="84"/>
      <c r="HM191" s="84"/>
      <c r="HN191" s="84"/>
      <c r="HO191" s="84"/>
      <c r="HP191" s="84"/>
      <c r="HQ191" s="84"/>
      <c r="HR191" s="84"/>
      <c r="HS191" s="84"/>
      <c r="HT191" s="84"/>
      <c r="HU191" s="84"/>
      <c r="HV191" s="84"/>
      <c r="HW191" s="84"/>
      <c r="HX191" s="84"/>
      <c r="HY191" s="84"/>
      <c r="HZ191" s="84"/>
      <c r="IA191" s="84"/>
      <c r="IB191" s="84"/>
      <c r="IC191" s="84"/>
      <c r="ID191" s="84"/>
      <c r="IE191" s="84"/>
      <c r="IF191" s="84"/>
      <c r="IG191" s="84"/>
      <c r="IH191" s="84"/>
      <c r="II191" s="84"/>
      <c r="IJ191" s="84"/>
    </row>
    <row r="192" spans="1:244" customFormat="1" ht="25" x14ac:dyDescent="0.25">
      <c r="B192" s="110" t="s">
        <v>374</v>
      </c>
      <c r="C192" s="41" t="s">
        <v>53</v>
      </c>
      <c r="D192" s="41">
        <f>1</f>
        <v>1</v>
      </c>
      <c r="E192" s="45">
        <f>ROUND(PI()/2*152/1000*10.9,2)</f>
        <v>2.6</v>
      </c>
      <c r="F192" s="41">
        <f t="shared" si="43"/>
        <v>2.6</v>
      </c>
      <c r="G192" s="41" t="s">
        <v>53</v>
      </c>
      <c r="H192" s="75">
        <v>0</v>
      </c>
      <c r="I192" s="75">
        <v>0</v>
      </c>
      <c r="J192" s="41">
        <f t="shared" si="46"/>
        <v>0</v>
      </c>
      <c r="K192" s="41">
        <f t="shared" si="47"/>
        <v>0</v>
      </c>
      <c r="L192" s="41">
        <f t="shared" si="45"/>
        <v>0</v>
      </c>
    </row>
    <row r="193" spans="1:244" ht="25" x14ac:dyDescent="0.25">
      <c r="A193" s="84"/>
      <c r="B193" s="85" t="s">
        <v>111</v>
      </c>
      <c r="C193" s="41" t="s">
        <v>53</v>
      </c>
      <c r="D193" s="41">
        <f>2</f>
        <v>2</v>
      </c>
      <c r="E193" s="45">
        <f>ROUND(PI()/2*190/1000*15,2)</f>
        <v>4.4800000000000004</v>
      </c>
      <c r="F193" s="41">
        <f t="shared" si="43"/>
        <v>8.9600000000000009</v>
      </c>
      <c r="G193" s="41" t="s">
        <v>53</v>
      </c>
      <c r="H193" s="75">
        <v>0</v>
      </c>
      <c r="I193" s="75">
        <v>0</v>
      </c>
      <c r="J193" s="41">
        <f t="shared" si="46"/>
        <v>0</v>
      </c>
      <c r="K193" s="41">
        <f t="shared" si="47"/>
        <v>0</v>
      </c>
      <c r="L193" s="41">
        <f t="shared" si="45"/>
        <v>0</v>
      </c>
      <c r="M193" s="84"/>
      <c r="N193" s="84"/>
      <c r="O193" s="84"/>
      <c r="P193" s="84"/>
      <c r="Q193" s="84"/>
      <c r="R193" s="84"/>
      <c r="S193" s="84"/>
      <c r="T193" s="84"/>
      <c r="U193" s="84"/>
      <c r="V193" s="84"/>
      <c r="W193" s="84"/>
      <c r="X193" s="84"/>
      <c r="Y193" s="84"/>
      <c r="Z193" s="84"/>
      <c r="AA193" s="84"/>
      <c r="AB193" s="84"/>
      <c r="AC193" s="84"/>
      <c r="AD193" s="84"/>
      <c r="AE193" s="84"/>
      <c r="AF193" s="84"/>
      <c r="AG193" s="84"/>
      <c r="AH193" s="84"/>
      <c r="AI193" s="84"/>
      <c r="AJ193" s="84"/>
      <c r="AK193" s="84"/>
      <c r="AL193" s="84"/>
      <c r="AM193" s="84"/>
      <c r="AN193" s="84"/>
      <c r="AO193" s="84"/>
      <c r="AP193" s="84"/>
      <c r="AQ193" s="84"/>
      <c r="AR193" s="84"/>
      <c r="AS193" s="84"/>
      <c r="AT193" s="84"/>
      <c r="AU193" s="84"/>
      <c r="AV193" s="84"/>
      <c r="AW193" s="84"/>
      <c r="AX193" s="84"/>
      <c r="AY193" s="84"/>
      <c r="AZ193" s="84"/>
      <c r="BA193" s="84"/>
      <c r="BB193" s="84"/>
      <c r="BC193" s="84"/>
      <c r="BD193" s="84"/>
      <c r="BE193" s="84"/>
      <c r="BF193" s="84"/>
      <c r="BG193" s="84"/>
      <c r="BH193" s="84"/>
      <c r="BI193" s="84"/>
      <c r="BJ193" s="84"/>
      <c r="BK193" s="84"/>
      <c r="BL193" s="84"/>
      <c r="BM193" s="84"/>
      <c r="BN193" s="84"/>
      <c r="BO193" s="84"/>
      <c r="BP193" s="84"/>
      <c r="BQ193" s="84"/>
      <c r="BR193" s="84"/>
      <c r="BS193" s="84"/>
      <c r="BT193" s="84"/>
      <c r="BU193" s="84"/>
      <c r="BV193" s="84"/>
      <c r="BW193" s="84"/>
      <c r="BX193" s="84"/>
      <c r="BY193" s="84"/>
      <c r="BZ193" s="84"/>
      <c r="CA193" s="84"/>
      <c r="CB193" s="84"/>
      <c r="CC193" s="84"/>
      <c r="CD193" s="84"/>
      <c r="CE193" s="84"/>
      <c r="CF193" s="84"/>
      <c r="CG193" s="84"/>
      <c r="CH193" s="84"/>
      <c r="CI193" s="84"/>
      <c r="CJ193" s="84"/>
      <c r="CK193" s="84"/>
      <c r="CL193" s="84"/>
      <c r="CM193" s="84"/>
      <c r="CN193" s="84"/>
      <c r="CO193" s="84"/>
      <c r="CP193" s="84"/>
      <c r="CQ193" s="84"/>
      <c r="CR193" s="84"/>
      <c r="CS193" s="84"/>
      <c r="CT193" s="84"/>
      <c r="CU193" s="84"/>
      <c r="CV193" s="84"/>
      <c r="CW193" s="84"/>
      <c r="CX193" s="84"/>
      <c r="CY193" s="84"/>
      <c r="CZ193" s="84"/>
      <c r="DA193" s="84"/>
      <c r="DB193" s="84"/>
      <c r="DC193" s="84"/>
      <c r="DD193" s="84"/>
      <c r="DE193" s="84"/>
      <c r="DF193" s="84"/>
      <c r="DG193" s="84"/>
      <c r="DH193" s="84"/>
      <c r="DI193" s="84"/>
      <c r="DJ193" s="84"/>
      <c r="DK193" s="84"/>
      <c r="DL193" s="84"/>
      <c r="DM193" s="84"/>
      <c r="DN193" s="84"/>
      <c r="DO193" s="84"/>
      <c r="DP193" s="84"/>
      <c r="DQ193" s="84"/>
      <c r="DR193" s="84"/>
      <c r="DS193" s="84"/>
      <c r="DT193" s="84"/>
      <c r="DU193" s="84"/>
      <c r="DV193" s="84"/>
      <c r="DW193" s="84"/>
      <c r="DX193" s="84"/>
      <c r="DY193" s="84"/>
      <c r="DZ193" s="84"/>
      <c r="EA193" s="84"/>
      <c r="EB193" s="84"/>
      <c r="EC193" s="84"/>
      <c r="ED193" s="84"/>
      <c r="EE193" s="84"/>
      <c r="EF193" s="84"/>
      <c r="EG193" s="84"/>
      <c r="EH193" s="84"/>
      <c r="EI193" s="84"/>
      <c r="EJ193" s="84"/>
      <c r="EK193" s="84"/>
      <c r="EL193" s="84"/>
      <c r="EM193" s="84"/>
      <c r="EN193" s="84"/>
      <c r="EO193" s="84"/>
      <c r="EP193" s="84"/>
      <c r="EQ193" s="84"/>
      <c r="ER193" s="84"/>
      <c r="ES193" s="84"/>
      <c r="ET193" s="84"/>
      <c r="EU193" s="84"/>
      <c r="EV193" s="84"/>
      <c r="EW193" s="84"/>
      <c r="EX193" s="84"/>
      <c r="EY193" s="84"/>
      <c r="EZ193" s="84"/>
      <c r="FA193" s="84"/>
      <c r="FB193" s="84"/>
      <c r="FC193" s="84"/>
      <c r="FD193" s="84"/>
      <c r="FE193" s="84"/>
      <c r="FF193" s="84"/>
      <c r="FG193" s="84"/>
      <c r="FH193" s="84"/>
      <c r="FI193" s="84"/>
      <c r="FJ193" s="84"/>
      <c r="FK193" s="84"/>
      <c r="FL193" s="84"/>
      <c r="FM193" s="84"/>
      <c r="FN193" s="84"/>
      <c r="FO193" s="84"/>
      <c r="FP193" s="84"/>
      <c r="FQ193" s="84"/>
      <c r="FR193" s="84"/>
      <c r="FS193" s="84"/>
      <c r="FT193" s="84"/>
      <c r="FU193" s="84"/>
      <c r="FV193" s="84"/>
      <c r="FW193" s="84"/>
      <c r="FX193" s="84"/>
      <c r="FY193" s="84"/>
      <c r="FZ193" s="84"/>
      <c r="GA193" s="84"/>
      <c r="GB193" s="84"/>
      <c r="GC193" s="84"/>
      <c r="GD193" s="84"/>
      <c r="GE193" s="84"/>
      <c r="GF193" s="84"/>
      <c r="GG193" s="84"/>
      <c r="GH193" s="84"/>
      <c r="GI193" s="84"/>
      <c r="GJ193" s="84"/>
      <c r="GK193" s="84"/>
      <c r="GL193" s="84"/>
      <c r="GM193" s="84"/>
      <c r="GN193" s="84"/>
      <c r="GO193" s="84"/>
      <c r="GP193" s="84"/>
      <c r="GQ193" s="84"/>
      <c r="GR193" s="84"/>
      <c r="GS193" s="84"/>
      <c r="GT193" s="84"/>
      <c r="GU193" s="84"/>
      <c r="GV193" s="84"/>
      <c r="GW193" s="84"/>
      <c r="GX193" s="84"/>
      <c r="GY193" s="84"/>
      <c r="GZ193" s="84"/>
      <c r="HA193" s="84"/>
      <c r="HB193" s="84"/>
      <c r="HC193" s="84"/>
      <c r="HD193" s="84"/>
      <c r="HE193" s="84"/>
      <c r="HF193" s="84"/>
      <c r="HG193" s="84"/>
      <c r="HH193" s="84"/>
      <c r="HI193" s="84"/>
      <c r="HJ193" s="84"/>
      <c r="HK193" s="84"/>
      <c r="HL193" s="84"/>
      <c r="HM193" s="84"/>
      <c r="HN193" s="84"/>
      <c r="HO193" s="84"/>
      <c r="HP193" s="84"/>
      <c r="HQ193" s="84"/>
      <c r="HR193" s="84"/>
      <c r="HS193" s="84"/>
      <c r="HT193" s="84"/>
      <c r="HU193" s="84"/>
      <c r="HV193" s="84"/>
      <c r="HW193" s="84"/>
      <c r="HX193" s="84"/>
      <c r="HY193" s="84"/>
      <c r="HZ193" s="84"/>
      <c r="IA193" s="84"/>
      <c r="IB193" s="84"/>
      <c r="IC193" s="84"/>
      <c r="ID193" s="84"/>
      <c r="IE193" s="84"/>
      <c r="IF193" s="84"/>
      <c r="IG193" s="84"/>
      <c r="IH193" s="84"/>
      <c r="II193" s="84"/>
      <c r="IJ193" s="84"/>
    </row>
    <row r="194" spans="1:244" s="81" customFormat="1" ht="25" x14ac:dyDescent="0.25">
      <c r="A194" s="54"/>
      <c r="B194" s="44" t="s">
        <v>293</v>
      </c>
      <c r="C194" s="41" t="s">
        <v>53</v>
      </c>
      <c r="D194" s="41">
        <f>1+1</f>
        <v>2</v>
      </c>
      <c r="E194" s="45">
        <f>ROUND(38*3/1000*1.99,2)</f>
        <v>0.23</v>
      </c>
      <c r="F194" s="55">
        <f t="shared" si="43"/>
        <v>0.46</v>
      </c>
      <c r="G194" s="41" t="s">
        <v>53</v>
      </c>
      <c r="H194" s="41">
        <v>0</v>
      </c>
      <c r="I194" s="41">
        <v>0</v>
      </c>
      <c r="J194" s="41">
        <f t="shared" si="46"/>
        <v>0</v>
      </c>
      <c r="K194" s="41">
        <f t="shared" si="47"/>
        <v>0</v>
      </c>
      <c r="L194" s="41">
        <f t="shared" si="45"/>
        <v>0</v>
      </c>
    </row>
    <row r="195" spans="1:244" s="81" customFormat="1" ht="25" x14ac:dyDescent="0.25">
      <c r="A195" s="54"/>
      <c r="B195" s="44" t="s">
        <v>294</v>
      </c>
      <c r="C195" s="41" t="s">
        <v>53</v>
      </c>
      <c r="D195" s="41">
        <f>1</f>
        <v>1</v>
      </c>
      <c r="E195" s="45">
        <f>ROUND(48*3/1000*2.55,2)</f>
        <v>0.37</v>
      </c>
      <c r="F195" s="55">
        <f t="shared" si="43"/>
        <v>0.37</v>
      </c>
      <c r="G195" s="41" t="s">
        <v>53</v>
      </c>
      <c r="H195" s="41">
        <v>0</v>
      </c>
      <c r="I195" s="41">
        <v>0</v>
      </c>
      <c r="J195" s="41">
        <f t="shared" si="46"/>
        <v>0</v>
      </c>
      <c r="K195" s="41">
        <f t="shared" si="47"/>
        <v>0</v>
      </c>
      <c r="L195" s="41">
        <f t="shared" si="45"/>
        <v>0</v>
      </c>
    </row>
    <row r="196" spans="1:244" s="81" customFormat="1" ht="25" x14ac:dyDescent="0.25">
      <c r="A196" s="54"/>
      <c r="B196" s="44" t="s">
        <v>295</v>
      </c>
      <c r="C196" s="41" t="s">
        <v>53</v>
      </c>
      <c r="D196" s="41">
        <f>1</f>
        <v>1</v>
      </c>
      <c r="E196" s="45">
        <f>ROUND(64*3/1000*4.11,2)</f>
        <v>0.79</v>
      </c>
      <c r="F196" s="55">
        <f t="shared" si="43"/>
        <v>0.79</v>
      </c>
      <c r="G196" s="41" t="s">
        <v>53</v>
      </c>
      <c r="H196" s="41">
        <v>0</v>
      </c>
      <c r="I196" s="41">
        <v>0</v>
      </c>
      <c r="J196" s="41">
        <f t="shared" si="46"/>
        <v>0</v>
      </c>
      <c r="K196" s="41">
        <f t="shared" si="47"/>
        <v>0</v>
      </c>
      <c r="L196" s="41">
        <f t="shared" si="45"/>
        <v>0</v>
      </c>
    </row>
    <row r="197" spans="1:244" s="81" customFormat="1" ht="25" x14ac:dyDescent="0.25">
      <c r="A197" s="54"/>
      <c r="B197" s="44" t="s">
        <v>296</v>
      </c>
      <c r="C197" s="41" t="s">
        <v>53</v>
      </c>
      <c r="D197" s="41">
        <f>1</f>
        <v>1</v>
      </c>
      <c r="E197" s="45">
        <f>ROUND(86*3/1000*7.57,2)</f>
        <v>1.95</v>
      </c>
      <c r="F197" s="55">
        <f>D197*E197</f>
        <v>1.95</v>
      </c>
      <c r="G197" s="41" t="s">
        <v>53</v>
      </c>
      <c r="H197" s="41">
        <v>0</v>
      </c>
      <c r="I197" s="41">
        <v>0</v>
      </c>
      <c r="J197" s="41">
        <f>$D197*H197</f>
        <v>0</v>
      </c>
      <c r="K197" s="41">
        <f t="shared" si="47"/>
        <v>0</v>
      </c>
      <c r="L197" s="41">
        <f>J197+K197</f>
        <v>0</v>
      </c>
    </row>
    <row r="198" spans="1:244" s="81" customFormat="1" ht="25" x14ac:dyDescent="0.25">
      <c r="A198" s="54"/>
      <c r="B198" s="44" t="s">
        <v>297</v>
      </c>
      <c r="C198" s="41" t="s">
        <v>53</v>
      </c>
      <c r="D198" s="41">
        <f>1+3</f>
        <v>4</v>
      </c>
      <c r="E198" s="45">
        <f>ROUND(86*3/1000*7.57,2)</f>
        <v>1.95</v>
      </c>
      <c r="F198" s="55">
        <f t="shared" si="43"/>
        <v>7.8</v>
      </c>
      <c r="G198" s="41" t="s">
        <v>53</v>
      </c>
      <c r="H198" s="41">
        <v>0</v>
      </c>
      <c r="I198" s="41">
        <v>0</v>
      </c>
      <c r="J198" s="41">
        <f t="shared" si="46"/>
        <v>0</v>
      </c>
      <c r="K198" s="41">
        <f t="shared" si="47"/>
        <v>0</v>
      </c>
      <c r="L198" s="41">
        <f t="shared" si="45"/>
        <v>0</v>
      </c>
    </row>
    <row r="199" spans="1:244" s="43" customFormat="1" ht="25" x14ac:dyDescent="0.25">
      <c r="A199" s="54"/>
      <c r="B199" s="44" t="s">
        <v>375</v>
      </c>
      <c r="C199" s="41" t="s">
        <v>53</v>
      </c>
      <c r="D199" s="41">
        <f>1</f>
        <v>1</v>
      </c>
      <c r="E199" s="45">
        <f>ROUND(124*3/1000*15,2)</f>
        <v>5.58</v>
      </c>
      <c r="F199" s="55">
        <f t="shared" si="43"/>
        <v>5.58</v>
      </c>
      <c r="G199" s="41" t="s">
        <v>53</v>
      </c>
      <c r="H199" s="41">
        <v>0</v>
      </c>
      <c r="I199" s="41">
        <v>0</v>
      </c>
      <c r="J199" s="41">
        <f t="shared" si="46"/>
        <v>0</v>
      </c>
      <c r="K199" s="41">
        <f t="shared" si="47"/>
        <v>0</v>
      </c>
      <c r="L199" s="41">
        <f t="shared" si="45"/>
        <v>0</v>
      </c>
    </row>
    <row r="200" spans="1:244" s="43" customFormat="1" ht="37.5" x14ac:dyDescent="0.25">
      <c r="A200" s="54"/>
      <c r="B200" s="44" t="s">
        <v>376</v>
      </c>
      <c r="C200" s="41" t="s">
        <v>53</v>
      </c>
      <c r="D200" s="41">
        <f>1</f>
        <v>1</v>
      </c>
      <c r="E200" s="45">
        <f>ROUND(38/1000*1.56,2)</f>
        <v>0.06</v>
      </c>
      <c r="F200" s="55">
        <f t="shared" si="43"/>
        <v>0.06</v>
      </c>
      <c r="G200" s="41" t="s">
        <v>53</v>
      </c>
      <c r="H200" s="41">
        <v>0</v>
      </c>
      <c r="I200" s="41">
        <v>0</v>
      </c>
      <c r="J200" s="41">
        <f t="shared" si="46"/>
        <v>0</v>
      </c>
      <c r="K200" s="41">
        <f t="shared" si="46"/>
        <v>0</v>
      </c>
      <c r="L200" s="41">
        <f t="shared" si="45"/>
        <v>0</v>
      </c>
    </row>
    <row r="201" spans="1:244" s="43" customFormat="1" ht="37.5" x14ac:dyDescent="0.25">
      <c r="A201" s="54"/>
      <c r="B201" s="44" t="s">
        <v>372</v>
      </c>
      <c r="C201" s="41" t="s">
        <v>53</v>
      </c>
      <c r="D201" s="41">
        <f>1</f>
        <v>1</v>
      </c>
      <c r="E201" s="45">
        <f>ROUND(76/1000*4.1,2)</f>
        <v>0.31</v>
      </c>
      <c r="F201" s="55">
        <f t="shared" si="43"/>
        <v>0.31</v>
      </c>
      <c r="G201" s="41" t="s">
        <v>53</v>
      </c>
      <c r="H201" s="41">
        <v>0</v>
      </c>
      <c r="I201" s="41">
        <v>0</v>
      </c>
      <c r="J201" s="41">
        <f t="shared" si="46"/>
        <v>0</v>
      </c>
      <c r="K201" s="41">
        <f>$D201*I201</f>
        <v>0</v>
      </c>
      <c r="L201" s="41">
        <f t="shared" si="45"/>
        <v>0</v>
      </c>
    </row>
    <row r="202" spans="1:244" s="43" customFormat="1" ht="37.5" x14ac:dyDescent="0.25">
      <c r="A202" s="54"/>
      <c r="B202" s="44" t="s">
        <v>112</v>
      </c>
      <c r="C202" s="41" t="s">
        <v>53</v>
      </c>
      <c r="D202" s="41">
        <f>1+1+1</f>
        <v>3</v>
      </c>
      <c r="E202" s="45">
        <f>ROUND(89/1000*5.75,2)</f>
        <v>0.51</v>
      </c>
      <c r="F202" s="55">
        <f t="shared" si="43"/>
        <v>1.53</v>
      </c>
      <c r="G202" s="41" t="s">
        <v>53</v>
      </c>
      <c r="H202" s="41">
        <v>0</v>
      </c>
      <c r="I202" s="41">
        <v>0</v>
      </c>
      <c r="J202" s="41">
        <f t="shared" si="46"/>
        <v>0</v>
      </c>
      <c r="K202" s="41">
        <f t="shared" ref="K202:K215" si="48">$D202*I202</f>
        <v>0</v>
      </c>
      <c r="L202" s="41">
        <f t="shared" si="45"/>
        <v>0</v>
      </c>
      <c r="M202" s="81"/>
      <c r="N202" s="81"/>
      <c r="O202" s="81"/>
      <c r="P202" s="81"/>
      <c r="Q202" s="81"/>
      <c r="R202" s="81"/>
      <c r="S202" s="81"/>
      <c r="T202" s="81"/>
      <c r="U202" s="81"/>
      <c r="V202" s="81"/>
      <c r="W202" s="81"/>
      <c r="X202" s="81"/>
      <c r="Y202" s="81"/>
      <c r="Z202" s="81"/>
      <c r="AA202" s="81"/>
      <c r="AB202" s="81"/>
      <c r="AC202" s="81"/>
      <c r="AD202" s="81"/>
      <c r="AE202" s="81"/>
      <c r="AF202" s="81"/>
      <c r="AG202" s="81"/>
      <c r="AH202" s="81"/>
      <c r="AI202" s="81"/>
      <c r="AJ202" s="81"/>
      <c r="AK202" s="81"/>
      <c r="AL202" s="81"/>
      <c r="AM202" s="81"/>
      <c r="AN202" s="81"/>
      <c r="AO202" s="81"/>
      <c r="AP202" s="81"/>
      <c r="AQ202" s="81"/>
      <c r="AR202" s="81"/>
      <c r="AS202" s="81"/>
      <c r="AT202" s="81"/>
      <c r="AU202" s="81"/>
      <c r="AV202" s="81"/>
      <c r="AW202" s="81"/>
      <c r="AX202" s="81"/>
      <c r="AY202" s="81"/>
      <c r="AZ202" s="81"/>
      <c r="BA202" s="81"/>
      <c r="BB202" s="81"/>
      <c r="BC202" s="81"/>
      <c r="BD202" s="81"/>
      <c r="BE202" s="81"/>
      <c r="BF202" s="81"/>
      <c r="BG202" s="81"/>
      <c r="BH202" s="81"/>
      <c r="BI202" s="81"/>
      <c r="BJ202" s="81"/>
      <c r="BK202" s="81"/>
      <c r="BL202" s="81"/>
      <c r="BM202" s="81"/>
      <c r="BN202" s="81"/>
      <c r="BO202" s="81"/>
      <c r="BP202" s="81"/>
      <c r="BQ202" s="81"/>
      <c r="BR202" s="81"/>
      <c r="BS202" s="81"/>
      <c r="BT202" s="81"/>
      <c r="BU202" s="81"/>
      <c r="BV202" s="81"/>
      <c r="BW202" s="81"/>
      <c r="BX202" s="81"/>
      <c r="BY202" s="81"/>
      <c r="BZ202" s="81"/>
      <c r="CA202" s="81"/>
      <c r="CB202" s="81"/>
      <c r="CC202" s="81"/>
      <c r="CD202" s="81"/>
      <c r="CE202" s="81"/>
      <c r="CF202" s="81"/>
      <c r="CG202" s="81"/>
      <c r="CH202" s="81"/>
      <c r="CI202" s="81"/>
      <c r="CJ202" s="81"/>
      <c r="CK202" s="81"/>
      <c r="CL202" s="81"/>
      <c r="CM202" s="81"/>
      <c r="CN202" s="81"/>
      <c r="CO202" s="81"/>
      <c r="CP202" s="81"/>
      <c r="CQ202" s="81"/>
      <c r="CR202" s="81"/>
      <c r="CS202" s="81"/>
      <c r="CT202" s="81"/>
      <c r="CU202" s="81"/>
      <c r="CV202" s="81"/>
      <c r="CW202" s="81"/>
      <c r="CX202" s="81"/>
      <c r="CY202" s="81"/>
      <c r="CZ202" s="81"/>
      <c r="DA202" s="81"/>
      <c r="DB202" s="81"/>
      <c r="DC202" s="81"/>
      <c r="DD202" s="81"/>
      <c r="DE202" s="81"/>
      <c r="DF202" s="81"/>
      <c r="DG202" s="81"/>
      <c r="DH202" s="81"/>
      <c r="DI202" s="81"/>
      <c r="DJ202" s="81"/>
      <c r="DK202" s="81"/>
      <c r="DL202" s="81"/>
      <c r="DM202" s="81"/>
      <c r="DN202" s="81"/>
      <c r="DO202" s="81"/>
      <c r="DP202" s="81"/>
      <c r="DQ202" s="81"/>
      <c r="DR202" s="81"/>
      <c r="DS202" s="81"/>
      <c r="DT202" s="81"/>
      <c r="DU202" s="81"/>
      <c r="DV202" s="81"/>
      <c r="DW202" s="81"/>
      <c r="DX202" s="81"/>
      <c r="DY202" s="81"/>
      <c r="DZ202" s="81"/>
      <c r="EA202" s="81"/>
      <c r="EB202" s="81"/>
      <c r="EC202" s="81"/>
      <c r="ED202" s="81"/>
      <c r="EE202" s="81"/>
      <c r="EF202" s="81"/>
      <c r="EG202" s="81"/>
      <c r="EH202" s="81"/>
      <c r="EI202" s="81"/>
      <c r="EJ202" s="81"/>
      <c r="EK202" s="81"/>
      <c r="EL202" s="81"/>
      <c r="EM202" s="81"/>
      <c r="EN202" s="81"/>
      <c r="EO202" s="81"/>
      <c r="EP202" s="81"/>
      <c r="EQ202" s="81"/>
      <c r="ER202" s="81"/>
      <c r="ES202" s="81"/>
      <c r="ET202" s="81"/>
      <c r="EU202" s="81"/>
      <c r="EV202" s="81"/>
      <c r="EW202" s="81"/>
      <c r="EX202" s="81"/>
      <c r="EY202" s="81"/>
      <c r="EZ202" s="81"/>
      <c r="FA202" s="81"/>
      <c r="FB202" s="81"/>
      <c r="FC202" s="81"/>
      <c r="FD202" s="81"/>
      <c r="FE202" s="81"/>
      <c r="FF202" s="81"/>
      <c r="FG202" s="81"/>
      <c r="FH202" s="81"/>
      <c r="FI202" s="81"/>
      <c r="FJ202" s="81"/>
      <c r="FK202" s="81"/>
      <c r="FL202" s="81"/>
      <c r="FM202" s="81"/>
      <c r="FN202" s="81"/>
      <c r="FO202" s="81"/>
      <c r="FP202" s="81"/>
      <c r="FQ202" s="81"/>
      <c r="FR202" s="81"/>
      <c r="FS202" s="81"/>
      <c r="FT202" s="81"/>
      <c r="FU202" s="81"/>
      <c r="FV202" s="81"/>
      <c r="FW202" s="81"/>
      <c r="FX202" s="81"/>
      <c r="FY202" s="81"/>
      <c r="FZ202" s="81"/>
      <c r="GA202" s="81"/>
      <c r="GB202" s="81"/>
      <c r="GC202" s="81"/>
      <c r="GD202" s="81"/>
      <c r="GE202" s="81"/>
      <c r="GF202" s="81"/>
      <c r="GG202" s="81"/>
      <c r="GH202" s="81"/>
      <c r="GI202" s="81"/>
      <c r="GJ202" s="81"/>
      <c r="GK202" s="81"/>
      <c r="GL202" s="81"/>
      <c r="GM202" s="81"/>
      <c r="GN202" s="81"/>
      <c r="GO202" s="81"/>
      <c r="GP202" s="81"/>
      <c r="GQ202" s="81"/>
      <c r="GR202" s="81"/>
      <c r="GS202" s="81"/>
      <c r="GT202" s="81"/>
      <c r="GU202" s="81"/>
      <c r="GV202" s="81"/>
      <c r="GW202" s="81"/>
      <c r="GX202" s="81"/>
      <c r="GY202" s="81"/>
      <c r="GZ202" s="81"/>
      <c r="HA202" s="81"/>
      <c r="HB202" s="81"/>
      <c r="HC202" s="81"/>
      <c r="HD202" s="81"/>
      <c r="HE202" s="81"/>
      <c r="HF202" s="81"/>
      <c r="HG202" s="81"/>
      <c r="HH202" s="81"/>
      <c r="HI202" s="81"/>
      <c r="HJ202" s="81"/>
      <c r="HK202" s="81"/>
      <c r="HL202" s="81"/>
      <c r="HM202" s="81"/>
      <c r="HN202" s="81"/>
      <c r="HO202" s="81"/>
      <c r="HP202" s="81"/>
      <c r="HQ202" s="81"/>
      <c r="HR202" s="81"/>
      <c r="HS202" s="81"/>
      <c r="HT202" s="81"/>
      <c r="HU202" s="81"/>
      <c r="HV202" s="81"/>
      <c r="HW202" s="81"/>
      <c r="HX202" s="81"/>
      <c r="HY202" s="81"/>
      <c r="HZ202" s="81"/>
      <c r="IA202" s="81"/>
      <c r="IB202" s="81"/>
      <c r="IC202" s="81"/>
      <c r="ID202" s="81"/>
      <c r="IE202" s="81"/>
      <c r="IF202" s="81"/>
      <c r="IG202" s="81"/>
      <c r="IH202" s="81"/>
      <c r="II202" s="81"/>
      <c r="IJ202" s="81"/>
    </row>
    <row r="203" spans="1:244" s="43" customFormat="1" ht="37.5" x14ac:dyDescent="0.25">
      <c r="A203" s="54"/>
      <c r="B203" s="44" t="s">
        <v>137</v>
      </c>
      <c r="C203" s="41" t="s">
        <v>53</v>
      </c>
      <c r="D203" s="41">
        <f>2</f>
        <v>2</v>
      </c>
      <c r="E203" s="45">
        <f>ROUND(89/1000*7.57,2)</f>
        <v>0.67</v>
      </c>
      <c r="F203" s="55">
        <f t="shared" si="43"/>
        <v>1.34</v>
      </c>
      <c r="G203" s="41" t="s">
        <v>53</v>
      </c>
      <c r="H203" s="41">
        <v>0</v>
      </c>
      <c r="I203" s="41">
        <v>0</v>
      </c>
      <c r="J203" s="41">
        <f t="shared" si="46"/>
        <v>0</v>
      </c>
      <c r="K203" s="41">
        <f t="shared" si="48"/>
        <v>0</v>
      </c>
      <c r="L203" s="41">
        <f t="shared" si="45"/>
        <v>0</v>
      </c>
    </row>
    <row r="204" spans="1:244" s="43" customFormat="1" ht="37.5" x14ac:dyDescent="0.25">
      <c r="A204" s="54"/>
      <c r="B204" s="44" t="s">
        <v>134</v>
      </c>
      <c r="C204" s="41" t="s">
        <v>53</v>
      </c>
      <c r="D204" s="41">
        <f>1+1+1</f>
        <v>3</v>
      </c>
      <c r="E204" s="45">
        <f>ROUND(89/1000*7.57,2)</f>
        <v>0.67</v>
      </c>
      <c r="F204" s="55">
        <f t="shared" si="43"/>
        <v>2.0100000000000002</v>
      </c>
      <c r="G204" s="41" t="s">
        <v>53</v>
      </c>
      <c r="H204" s="41">
        <v>0</v>
      </c>
      <c r="I204" s="41">
        <v>0</v>
      </c>
      <c r="J204" s="41">
        <f t="shared" si="46"/>
        <v>0</v>
      </c>
      <c r="K204" s="41">
        <f t="shared" si="48"/>
        <v>0</v>
      </c>
      <c r="L204" s="41">
        <f t="shared" si="45"/>
        <v>0</v>
      </c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1"/>
      <c r="AD204" s="81"/>
      <c r="AE204" s="81"/>
      <c r="AF204" s="81"/>
      <c r="AG204" s="81"/>
      <c r="AH204" s="81"/>
      <c r="AI204" s="81"/>
      <c r="AJ204" s="81"/>
      <c r="AK204" s="81"/>
      <c r="AL204" s="81"/>
      <c r="AM204" s="81"/>
      <c r="AN204" s="81"/>
      <c r="AO204" s="81"/>
      <c r="AP204" s="81"/>
      <c r="AQ204" s="81"/>
      <c r="AR204" s="81"/>
      <c r="AS204" s="81"/>
      <c r="AT204" s="81"/>
      <c r="AU204" s="81"/>
      <c r="AV204" s="81"/>
      <c r="AW204" s="81"/>
      <c r="AX204" s="81"/>
      <c r="AY204" s="81"/>
      <c r="AZ204" s="81"/>
      <c r="BA204" s="81"/>
      <c r="BB204" s="81"/>
      <c r="BC204" s="81"/>
      <c r="BD204" s="81"/>
      <c r="BE204" s="81"/>
      <c r="BF204" s="81"/>
      <c r="BG204" s="81"/>
      <c r="BH204" s="81"/>
      <c r="BI204" s="81"/>
      <c r="BJ204" s="81"/>
      <c r="BK204" s="81"/>
      <c r="BL204" s="81"/>
      <c r="BM204" s="81"/>
      <c r="BN204" s="81"/>
      <c r="BO204" s="81"/>
      <c r="BP204" s="81"/>
      <c r="BQ204" s="81"/>
      <c r="BR204" s="81"/>
      <c r="BS204" s="81"/>
      <c r="BT204" s="81"/>
      <c r="BU204" s="81"/>
      <c r="BV204" s="81"/>
      <c r="BW204" s="81"/>
      <c r="BX204" s="81"/>
      <c r="BY204" s="81"/>
      <c r="BZ204" s="81"/>
      <c r="CA204" s="81"/>
      <c r="CB204" s="81"/>
      <c r="CC204" s="81"/>
      <c r="CD204" s="81"/>
      <c r="CE204" s="81"/>
      <c r="CF204" s="81"/>
      <c r="CG204" s="81"/>
      <c r="CH204" s="81"/>
      <c r="CI204" s="81"/>
      <c r="CJ204" s="81"/>
      <c r="CK204" s="81"/>
      <c r="CL204" s="81"/>
      <c r="CM204" s="81"/>
      <c r="CN204" s="81"/>
      <c r="CO204" s="81"/>
      <c r="CP204" s="81"/>
      <c r="CQ204" s="81"/>
      <c r="CR204" s="81"/>
      <c r="CS204" s="81"/>
      <c r="CT204" s="81"/>
      <c r="CU204" s="81"/>
      <c r="CV204" s="81"/>
      <c r="CW204" s="81"/>
      <c r="CX204" s="81"/>
      <c r="CY204" s="81"/>
      <c r="CZ204" s="81"/>
      <c r="DA204" s="81"/>
      <c r="DB204" s="81"/>
      <c r="DC204" s="81"/>
      <c r="DD204" s="81"/>
      <c r="DE204" s="81"/>
      <c r="DF204" s="81"/>
      <c r="DG204" s="81"/>
      <c r="DH204" s="81"/>
      <c r="DI204" s="81"/>
      <c r="DJ204" s="81"/>
      <c r="DK204" s="81"/>
      <c r="DL204" s="81"/>
      <c r="DM204" s="81"/>
      <c r="DN204" s="81"/>
      <c r="DO204" s="81"/>
      <c r="DP204" s="81"/>
      <c r="DQ204" s="81"/>
      <c r="DR204" s="81"/>
      <c r="DS204" s="81"/>
      <c r="DT204" s="81"/>
      <c r="DU204" s="81"/>
      <c r="DV204" s="81"/>
      <c r="DW204" s="81"/>
      <c r="DX204" s="81"/>
      <c r="DY204" s="81"/>
      <c r="DZ204" s="81"/>
      <c r="EA204" s="81"/>
      <c r="EB204" s="81"/>
      <c r="EC204" s="81"/>
      <c r="ED204" s="81"/>
      <c r="EE204" s="81"/>
      <c r="EF204" s="81"/>
      <c r="EG204" s="81"/>
      <c r="EH204" s="81"/>
      <c r="EI204" s="81"/>
      <c r="EJ204" s="81"/>
      <c r="EK204" s="81"/>
      <c r="EL204" s="81"/>
      <c r="EM204" s="81"/>
      <c r="EN204" s="81"/>
      <c r="EO204" s="81"/>
      <c r="EP204" s="81"/>
      <c r="EQ204" s="81"/>
      <c r="ER204" s="81"/>
      <c r="ES204" s="81"/>
      <c r="ET204" s="81"/>
      <c r="EU204" s="81"/>
      <c r="EV204" s="81"/>
      <c r="EW204" s="81"/>
      <c r="EX204" s="81"/>
      <c r="EY204" s="81"/>
      <c r="EZ204" s="81"/>
      <c r="FA204" s="81"/>
      <c r="FB204" s="81"/>
      <c r="FC204" s="81"/>
      <c r="FD204" s="81"/>
      <c r="FE204" s="81"/>
      <c r="FF204" s="81"/>
      <c r="FG204" s="81"/>
      <c r="FH204" s="81"/>
      <c r="FI204" s="81"/>
      <c r="FJ204" s="81"/>
      <c r="FK204" s="81"/>
      <c r="FL204" s="81"/>
      <c r="FM204" s="81"/>
      <c r="FN204" s="81"/>
      <c r="FO204" s="81"/>
      <c r="FP204" s="81"/>
      <c r="FQ204" s="81"/>
      <c r="FR204" s="81"/>
      <c r="FS204" s="81"/>
      <c r="FT204" s="81"/>
      <c r="FU204" s="81"/>
      <c r="FV204" s="81"/>
      <c r="FW204" s="81"/>
      <c r="FX204" s="81"/>
      <c r="FY204" s="81"/>
      <c r="FZ204" s="81"/>
      <c r="GA204" s="81"/>
      <c r="GB204" s="81"/>
      <c r="GC204" s="81"/>
      <c r="GD204" s="81"/>
      <c r="GE204" s="81"/>
      <c r="GF204" s="81"/>
      <c r="GG204" s="81"/>
      <c r="GH204" s="81"/>
      <c r="GI204" s="81"/>
      <c r="GJ204" s="81"/>
      <c r="GK204" s="81"/>
      <c r="GL204" s="81"/>
      <c r="GM204" s="81"/>
      <c r="GN204" s="81"/>
      <c r="GO204" s="81"/>
      <c r="GP204" s="81"/>
      <c r="GQ204" s="81"/>
      <c r="GR204" s="81"/>
      <c r="GS204" s="81"/>
      <c r="GT204" s="81"/>
      <c r="GU204" s="81"/>
      <c r="GV204" s="81"/>
      <c r="GW204" s="81"/>
      <c r="GX204" s="81"/>
      <c r="GY204" s="81"/>
      <c r="GZ204" s="81"/>
      <c r="HA204" s="81"/>
      <c r="HB204" s="81"/>
      <c r="HC204" s="81"/>
      <c r="HD204" s="81"/>
      <c r="HE204" s="81"/>
      <c r="HF204" s="81"/>
      <c r="HG204" s="81"/>
      <c r="HH204" s="81"/>
      <c r="HI204" s="81"/>
      <c r="HJ204" s="81"/>
      <c r="HK204" s="81"/>
      <c r="HL204" s="81"/>
      <c r="HM204" s="81"/>
      <c r="HN204" s="81"/>
      <c r="HO204" s="81"/>
      <c r="HP204" s="81"/>
      <c r="HQ204" s="81"/>
      <c r="HR204" s="81"/>
      <c r="HS204" s="81"/>
      <c r="HT204" s="81"/>
      <c r="HU204" s="81"/>
      <c r="HV204" s="81"/>
      <c r="HW204" s="81"/>
      <c r="HX204" s="81"/>
      <c r="HY204" s="81"/>
      <c r="HZ204" s="81"/>
      <c r="IA204" s="81"/>
      <c r="IB204" s="81"/>
      <c r="IC204" s="81"/>
      <c r="ID204" s="81"/>
      <c r="IE204" s="81"/>
      <c r="IF204" s="81"/>
      <c r="IG204" s="81"/>
      <c r="IH204" s="81"/>
      <c r="II204" s="81"/>
      <c r="IJ204" s="81"/>
    </row>
    <row r="205" spans="1:244" s="43" customFormat="1" ht="37.5" x14ac:dyDescent="0.25">
      <c r="A205" s="54"/>
      <c r="B205" s="44" t="s">
        <v>373</v>
      </c>
      <c r="C205" s="41" t="s">
        <v>53</v>
      </c>
      <c r="D205" s="41">
        <f>1</f>
        <v>1</v>
      </c>
      <c r="E205" s="45">
        <f>ROUND(102/1000*10.9,2)</f>
        <v>1.1100000000000001</v>
      </c>
      <c r="F205" s="55">
        <f t="shared" si="43"/>
        <v>1.1100000000000001</v>
      </c>
      <c r="G205" s="41" t="s">
        <v>53</v>
      </c>
      <c r="H205" s="41">
        <v>0</v>
      </c>
      <c r="I205" s="41">
        <v>0</v>
      </c>
      <c r="J205" s="41">
        <f t="shared" si="46"/>
        <v>0</v>
      </c>
      <c r="K205" s="41">
        <f t="shared" si="48"/>
        <v>0</v>
      </c>
      <c r="L205" s="41">
        <f t="shared" si="45"/>
        <v>0</v>
      </c>
    </row>
    <row r="206" spans="1:244" s="81" customFormat="1" ht="37.5" x14ac:dyDescent="0.25">
      <c r="A206" s="54"/>
      <c r="B206" s="44" t="s">
        <v>136</v>
      </c>
      <c r="C206" s="41" t="s">
        <v>53</v>
      </c>
      <c r="D206" s="41">
        <f>2</f>
        <v>2</v>
      </c>
      <c r="E206" s="45">
        <f>ROUND(102/1000*10.9,2)</f>
        <v>1.1100000000000001</v>
      </c>
      <c r="F206" s="55">
        <f t="shared" si="43"/>
        <v>2.2200000000000002</v>
      </c>
      <c r="G206" s="41" t="s">
        <v>53</v>
      </c>
      <c r="H206" s="41">
        <v>0</v>
      </c>
      <c r="I206" s="41">
        <v>0</v>
      </c>
      <c r="J206" s="41">
        <f t="shared" si="46"/>
        <v>0</v>
      </c>
      <c r="K206" s="41">
        <f t="shared" si="48"/>
        <v>0</v>
      </c>
      <c r="L206" s="41">
        <f t="shared" si="45"/>
        <v>0</v>
      </c>
    </row>
    <row r="207" spans="1:244" s="81" customFormat="1" x14ac:dyDescent="0.25">
      <c r="A207" s="54"/>
      <c r="B207" s="40" t="s">
        <v>220</v>
      </c>
      <c r="C207" s="41" t="s">
        <v>53</v>
      </c>
      <c r="D207" s="41">
        <f>1</f>
        <v>1</v>
      </c>
      <c r="E207" s="45">
        <v>1.2E-2</v>
      </c>
      <c r="F207" s="55">
        <f t="shared" si="43"/>
        <v>1.2E-2</v>
      </c>
      <c r="G207" s="41" t="s">
        <v>53</v>
      </c>
      <c r="H207" s="41">
        <v>0</v>
      </c>
      <c r="I207" s="41">
        <v>0</v>
      </c>
      <c r="J207" s="41">
        <f t="shared" si="46"/>
        <v>0</v>
      </c>
      <c r="K207" s="41">
        <f t="shared" si="48"/>
        <v>0</v>
      </c>
      <c r="L207" s="41">
        <f t="shared" si="45"/>
        <v>0</v>
      </c>
    </row>
    <row r="208" spans="1:244" s="81" customFormat="1" ht="25" x14ac:dyDescent="0.25">
      <c r="A208" s="54"/>
      <c r="B208" s="44" t="s">
        <v>298</v>
      </c>
      <c r="C208" s="41" t="s">
        <v>53</v>
      </c>
      <c r="D208" s="41"/>
      <c r="E208" s="45">
        <f>ROUND(11*2/1000*1.99,2)</f>
        <v>0.04</v>
      </c>
      <c r="F208" s="55">
        <f t="shared" si="43"/>
        <v>0</v>
      </c>
      <c r="G208" s="41" t="s">
        <v>53</v>
      </c>
      <c r="H208" s="41">
        <v>0</v>
      </c>
      <c r="I208" s="41">
        <v>0</v>
      </c>
      <c r="J208" s="41">
        <f t="shared" si="46"/>
        <v>0</v>
      </c>
      <c r="K208" s="41">
        <f t="shared" si="48"/>
        <v>0</v>
      </c>
      <c r="L208" s="41">
        <f t="shared" si="45"/>
        <v>0</v>
      </c>
    </row>
    <row r="209" spans="1:244" s="81" customFormat="1" ht="25" x14ac:dyDescent="0.25">
      <c r="A209" s="54"/>
      <c r="B209" s="44" t="s">
        <v>299</v>
      </c>
      <c r="C209" s="41" t="s">
        <v>53</v>
      </c>
      <c r="D209" s="41">
        <f>1</f>
        <v>1</v>
      </c>
      <c r="E209" s="45">
        <f>ROUND(16.5*2/1000*4.11,2)</f>
        <v>0.14000000000000001</v>
      </c>
      <c r="F209" s="55">
        <f t="shared" si="43"/>
        <v>0.14000000000000001</v>
      </c>
      <c r="G209" s="41" t="s">
        <v>53</v>
      </c>
      <c r="H209" s="41">
        <v>0</v>
      </c>
      <c r="I209" s="41">
        <v>0</v>
      </c>
      <c r="J209" s="41">
        <f t="shared" si="46"/>
        <v>0</v>
      </c>
      <c r="K209" s="41">
        <f t="shared" si="48"/>
        <v>0</v>
      </c>
      <c r="L209" s="41">
        <f t="shared" si="45"/>
        <v>0</v>
      </c>
    </row>
    <row r="210" spans="1:244" s="81" customFormat="1" ht="25" x14ac:dyDescent="0.25">
      <c r="A210" s="54"/>
      <c r="B210" s="44" t="s">
        <v>300</v>
      </c>
      <c r="C210" s="41" t="s">
        <v>53</v>
      </c>
      <c r="D210" s="41">
        <f>2</f>
        <v>2</v>
      </c>
      <c r="E210" s="45">
        <f>ROUND(18.5*2/1000*5.75,2)</f>
        <v>0.21</v>
      </c>
      <c r="F210" s="55">
        <f t="shared" si="43"/>
        <v>0.42</v>
      </c>
      <c r="G210" s="41" t="s">
        <v>53</v>
      </c>
      <c r="H210" s="41">
        <v>0</v>
      </c>
      <c r="I210" s="41">
        <v>0</v>
      </c>
      <c r="J210" s="41">
        <f t="shared" si="46"/>
        <v>0</v>
      </c>
      <c r="K210" s="41">
        <f t="shared" si="48"/>
        <v>0</v>
      </c>
      <c r="L210" s="41">
        <f t="shared" si="45"/>
        <v>0</v>
      </c>
    </row>
    <row r="211" spans="1:244" s="43" customFormat="1" ht="25" x14ac:dyDescent="0.25">
      <c r="A211" s="54"/>
      <c r="B211" s="44" t="s">
        <v>301</v>
      </c>
      <c r="C211" s="41" t="s">
        <v>53</v>
      </c>
      <c r="D211" s="41">
        <f>1+1</f>
        <v>2</v>
      </c>
      <c r="E211" s="45">
        <f>ROUND(23*2/1000*7.57,2)</f>
        <v>0.35</v>
      </c>
      <c r="F211" s="55">
        <f t="shared" si="43"/>
        <v>0.7</v>
      </c>
      <c r="G211" s="41" t="s">
        <v>53</v>
      </c>
      <c r="H211" s="41">
        <v>0</v>
      </c>
      <c r="I211" s="41">
        <v>0</v>
      </c>
      <c r="J211" s="41">
        <f t="shared" si="46"/>
        <v>0</v>
      </c>
      <c r="K211" s="41">
        <f t="shared" si="48"/>
        <v>0</v>
      </c>
      <c r="L211" s="41">
        <f t="shared" si="45"/>
        <v>0</v>
      </c>
      <c r="M211" s="81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  <c r="Z211" s="81"/>
      <c r="AA211" s="81"/>
      <c r="AB211" s="81"/>
      <c r="AC211" s="81"/>
      <c r="AD211" s="81"/>
      <c r="AE211" s="81"/>
      <c r="AF211" s="81"/>
      <c r="AG211" s="81"/>
      <c r="AH211" s="81"/>
      <c r="AI211" s="81"/>
      <c r="AJ211" s="81"/>
      <c r="AK211" s="81"/>
      <c r="AL211" s="81"/>
      <c r="AM211" s="81"/>
      <c r="AN211" s="81"/>
      <c r="AO211" s="81"/>
      <c r="AP211" s="81"/>
      <c r="AQ211" s="81"/>
      <c r="AR211" s="81"/>
      <c r="AS211" s="81"/>
      <c r="AT211" s="81"/>
      <c r="AU211" s="81"/>
      <c r="AV211" s="81"/>
      <c r="AW211" s="81"/>
      <c r="AX211" s="81"/>
      <c r="AY211" s="81"/>
      <c r="AZ211" s="81"/>
      <c r="BA211" s="81"/>
      <c r="BB211" s="81"/>
      <c r="BC211" s="81"/>
      <c r="BD211" s="81"/>
      <c r="BE211" s="81"/>
      <c r="BF211" s="81"/>
      <c r="BG211" s="81"/>
      <c r="BH211" s="81"/>
      <c r="BI211" s="81"/>
      <c r="BJ211" s="81"/>
      <c r="BK211" s="81"/>
      <c r="BL211" s="81"/>
      <c r="BM211" s="81"/>
      <c r="BN211" s="81"/>
      <c r="BO211" s="81"/>
      <c r="BP211" s="81"/>
      <c r="BQ211" s="81"/>
      <c r="BR211" s="81"/>
      <c r="BS211" s="81"/>
      <c r="BT211" s="81"/>
      <c r="BU211" s="81"/>
      <c r="BV211" s="81"/>
      <c r="BW211" s="81"/>
      <c r="BX211" s="81"/>
      <c r="BY211" s="81"/>
      <c r="BZ211" s="81"/>
      <c r="CA211" s="81"/>
      <c r="CB211" s="81"/>
      <c r="CC211" s="81"/>
      <c r="CD211" s="81"/>
      <c r="CE211" s="81"/>
      <c r="CF211" s="81"/>
      <c r="CG211" s="81"/>
      <c r="CH211" s="81"/>
      <c r="CI211" s="81"/>
      <c r="CJ211" s="81"/>
      <c r="CK211" s="81"/>
      <c r="CL211" s="81"/>
      <c r="CM211" s="81"/>
      <c r="CN211" s="81"/>
      <c r="CO211" s="81"/>
      <c r="CP211" s="81"/>
      <c r="CQ211" s="81"/>
      <c r="CR211" s="81"/>
      <c r="CS211" s="81"/>
      <c r="CT211" s="81"/>
      <c r="CU211" s="81"/>
      <c r="CV211" s="81"/>
      <c r="CW211" s="81"/>
      <c r="CX211" s="81"/>
      <c r="CY211" s="81"/>
      <c r="CZ211" s="81"/>
      <c r="DA211" s="81"/>
      <c r="DB211" s="81"/>
      <c r="DC211" s="81"/>
      <c r="DD211" s="81"/>
      <c r="DE211" s="81"/>
      <c r="DF211" s="81"/>
      <c r="DG211" s="81"/>
      <c r="DH211" s="81"/>
      <c r="DI211" s="81"/>
      <c r="DJ211" s="81"/>
      <c r="DK211" s="81"/>
      <c r="DL211" s="81"/>
      <c r="DM211" s="81"/>
      <c r="DN211" s="81"/>
      <c r="DO211" s="81"/>
      <c r="DP211" s="81"/>
      <c r="DQ211" s="81"/>
      <c r="DR211" s="81"/>
      <c r="DS211" s="81"/>
      <c r="DT211" s="81"/>
      <c r="DU211" s="81"/>
      <c r="DV211" s="81"/>
      <c r="DW211" s="81"/>
      <c r="DX211" s="81"/>
      <c r="DY211" s="81"/>
      <c r="DZ211" s="81"/>
      <c r="EA211" s="81"/>
      <c r="EB211" s="81"/>
      <c r="EC211" s="81"/>
      <c r="ED211" s="81"/>
      <c r="EE211" s="81"/>
      <c r="EF211" s="81"/>
      <c r="EG211" s="81"/>
      <c r="EH211" s="81"/>
      <c r="EI211" s="81"/>
      <c r="EJ211" s="81"/>
      <c r="EK211" s="81"/>
      <c r="EL211" s="81"/>
      <c r="EM211" s="81"/>
      <c r="EN211" s="81"/>
      <c r="EO211" s="81"/>
      <c r="EP211" s="81"/>
      <c r="EQ211" s="81"/>
      <c r="ER211" s="81"/>
      <c r="ES211" s="81"/>
      <c r="ET211" s="81"/>
      <c r="EU211" s="81"/>
      <c r="EV211" s="81"/>
      <c r="EW211" s="81"/>
      <c r="EX211" s="81"/>
      <c r="EY211" s="81"/>
      <c r="EZ211" s="81"/>
      <c r="FA211" s="81"/>
      <c r="FB211" s="81"/>
      <c r="FC211" s="81"/>
      <c r="FD211" s="81"/>
      <c r="FE211" s="81"/>
      <c r="FF211" s="81"/>
      <c r="FG211" s="81"/>
      <c r="FH211" s="81"/>
      <c r="FI211" s="81"/>
      <c r="FJ211" s="81"/>
      <c r="FK211" s="81"/>
      <c r="FL211" s="81"/>
      <c r="FM211" s="81"/>
      <c r="FN211" s="81"/>
      <c r="FO211" s="81"/>
      <c r="FP211" s="81"/>
      <c r="FQ211" s="81"/>
      <c r="FR211" s="81"/>
      <c r="FS211" s="81"/>
      <c r="FT211" s="81"/>
      <c r="FU211" s="81"/>
      <c r="FV211" s="81"/>
      <c r="FW211" s="81"/>
      <c r="FX211" s="81"/>
      <c r="FY211" s="81"/>
      <c r="FZ211" s="81"/>
      <c r="GA211" s="81"/>
      <c r="GB211" s="81"/>
      <c r="GC211" s="81"/>
      <c r="GD211" s="81"/>
      <c r="GE211" s="81"/>
      <c r="GF211" s="81"/>
      <c r="GG211" s="81"/>
      <c r="GH211" s="81"/>
      <c r="GI211" s="81"/>
      <c r="GJ211" s="81"/>
      <c r="GK211" s="81"/>
      <c r="GL211" s="81"/>
      <c r="GM211" s="81"/>
      <c r="GN211" s="81"/>
      <c r="GO211" s="81"/>
      <c r="GP211" s="81"/>
      <c r="GQ211" s="81"/>
      <c r="GR211" s="81"/>
      <c r="GS211" s="81"/>
      <c r="GT211" s="81"/>
      <c r="GU211" s="81"/>
      <c r="GV211" s="81"/>
      <c r="GW211" s="81"/>
      <c r="GX211" s="81"/>
      <c r="GY211" s="81"/>
      <c r="GZ211" s="81"/>
      <c r="HA211" s="81"/>
      <c r="HB211" s="81"/>
      <c r="HC211" s="81"/>
      <c r="HD211" s="81"/>
      <c r="HE211" s="81"/>
      <c r="HF211" s="81"/>
      <c r="HG211" s="81"/>
      <c r="HH211" s="81"/>
      <c r="HI211" s="81"/>
      <c r="HJ211" s="81"/>
      <c r="HK211" s="81"/>
      <c r="HL211" s="81"/>
      <c r="HM211" s="81"/>
      <c r="HN211" s="81"/>
      <c r="HO211" s="81"/>
      <c r="HP211" s="81"/>
      <c r="HQ211" s="81"/>
      <c r="HR211" s="81"/>
      <c r="HS211" s="81"/>
      <c r="HT211" s="81"/>
      <c r="HU211" s="81"/>
      <c r="HV211" s="81"/>
      <c r="HW211" s="81"/>
      <c r="HX211" s="81"/>
      <c r="HY211" s="81"/>
      <c r="HZ211" s="81"/>
      <c r="IA211" s="81"/>
      <c r="IB211" s="81"/>
      <c r="IC211" s="81"/>
      <c r="ID211" s="81"/>
      <c r="IE211" s="81"/>
      <c r="IF211" s="81"/>
      <c r="IG211" s="81"/>
      <c r="IH211" s="81"/>
      <c r="II211" s="81"/>
      <c r="IJ211" s="81"/>
    </row>
    <row r="212" spans="1:244" s="43" customFormat="1" ht="25" x14ac:dyDescent="0.25">
      <c r="A212" s="54"/>
      <c r="B212" s="44" t="s">
        <v>302</v>
      </c>
      <c r="C212" s="41" t="s">
        <v>53</v>
      </c>
      <c r="D212" s="41">
        <f>1</f>
        <v>1</v>
      </c>
      <c r="E212" s="45">
        <f>ROUND(35.5*2/1000*15,2)</f>
        <v>1.07</v>
      </c>
      <c r="F212" s="55">
        <f t="shared" si="43"/>
        <v>1.07</v>
      </c>
      <c r="G212" s="41" t="s">
        <v>53</v>
      </c>
      <c r="H212" s="41">
        <v>0</v>
      </c>
      <c r="I212" s="41">
        <v>0</v>
      </c>
      <c r="J212" s="41">
        <f t="shared" si="46"/>
        <v>0</v>
      </c>
      <c r="K212" s="41">
        <f t="shared" si="48"/>
        <v>0</v>
      </c>
      <c r="L212" s="41">
        <f t="shared" si="45"/>
        <v>0</v>
      </c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  <c r="AA212" s="81"/>
      <c r="AB212" s="81"/>
      <c r="AC212" s="81"/>
      <c r="AD212" s="81"/>
      <c r="AE212" s="81"/>
      <c r="AF212" s="81"/>
      <c r="AG212" s="81"/>
      <c r="AH212" s="81"/>
      <c r="AI212" s="81"/>
      <c r="AJ212" s="81"/>
      <c r="AK212" s="81"/>
      <c r="AL212" s="81"/>
      <c r="AM212" s="81"/>
      <c r="AN212" s="81"/>
      <c r="AO212" s="81"/>
      <c r="AP212" s="81"/>
      <c r="AQ212" s="81"/>
      <c r="AR212" s="81"/>
      <c r="AS212" s="81"/>
      <c r="AT212" s="81"/>
      <c r="AU212" s="81"/>
      <c r="AV212" s="81"/>
      <c r="AW212" s="81"/>
      <c r="AX212" s="81"/>
      <c r="AY212" s="81"/>
      <c r="AZ212" s="81"/>
      <c r="BA212" s="81"/>
      <c r="BB212" s="81"/>
      <c r="BC212" s="81"/>
      <c r="BD212" s="81"/>
      <c r="BE212" s="81"/>
      <c r="BF212" s="81"/>
      <c r="BG212" s="81"/>
      <c r="BH212" s="81"/>
      <c r="BI212" s="81"/>
      <c r="BJ212" s="81"/>
      <c r="BK212" s="81"/>
      <c r="BL212" s="81"/>
      <c r="BM212" s="81"/>
      <c r="BN212" s="81"/>
      <c r="BO212" s="81"/>
      <c r="BP212" s="81"/>
      <c r="BQ212" s="81"/>
      <c r="BR212" s="81"/>
      <c r="BS212" s="81"/>
      <c r="BT212" s="81"/>
      <c r="BU212" s="81"/>
      <c r="BV212" s="81"/>
      <c r="BW212" s="81"/>
      <c r="BX212" s="81"/>
      <c r="BY212" s="81"/>
      <c r="BZ212" s="81"/>
      <c r="CA212" s="81"/>
      <c r="CB212" s="81"/>
      <c r="CC212" s="81"/>
      <c r="CD212" s="81"/>
      <c r="CE212" s="81"/>
      <c r="CF212" s="81"/>
      <c r="CG212" s="81"/>
      <c r="CH212" s="81"/>
      <c r="CI212" s="81"/>
      <c r="CJ212" s="81"/>
      <c r="CK212" s="81"/>
      <c r="CL212" s="81"/>
      <c r="CM212" s="81"/>
      <c r="CN212" s="81"/>
      <c r="CO212" s="81"/>
      <c r="CP212" s="81"/>
      <c r="CQ212" s="81"/>
      <c r="CR212" s="81"/>
      <c r="CS212" s="81"/>
      <c r="CT212" s="81"/>
      <c r="CU212" s="81"/>
      <c r="CV212" s="81"/>
      <c r="CW212" s="81"/>
      <c r="CX212" s="81"/>
      <c r="CY212" s="81"/>
      <c r="CZ212" s="81"/>
      <c r="DA212" s="81"/>
      <c r="DB212" s="81"/>
      <c r="DC212" s="81"/>
      <c r="DD212" s="81"/>
      <c r="DE212" s="81"/>
      <c r="DF212" s="81"/>
      <c r="DG212" s="81"/>
      <c r="DH212" s="81"/>
      <c r="DI212" s="81"/>
      <c r="DJ212" s="81"/>
      <c r="DK212" s="81"/>
      <c r="DL212" s="81"/>
      <c r="DM212" s="81"/>
      <c r="DN212" s="81"/>
      <c r="DO212" s="81"/>
      <c r="DP212" s="81"/>
      <c r="DQ212" s="81"/>
      <c r="DR212" s="81"/>
      <c r="DS212" s="81"/>
      <c r="DT212" s="81"/>
      <c r="DU212" s="81"/>
      <c r="DV212" s="81"/>
      <c r="DW212" s="81"/>
      <c r="DX212" s="81"/>
      <c r="DY212" s="81"/>
      <c r="DZ212" s="81"/>
      <c r="EA212" s="81"/>
      <c r="EB212" s="81"/>
      <c r="EC212" s="81"/>
      <c r="ED212" s="81"/>
      <c r="EE212" s="81"/>
      <c r="EF212" s="81"/>
      <c r="EG212" s="81"/>
      <c r="EH212" s="81"/>
      <c r="EI212" s="81"/>
      <c r="EJ212" s="81"/>
      <c r="EK212" s="81"/>
      <c r="EL212" s="81"/>
      <c r="EM212" s="81"/>
      <c r="EN212" s="81"/>
      <c r="EO212" s="81"/>
      <c r="EP212" s="81"/>
      <c r="EQ212" s="81"/>
      <c r="ER212" s="81"/>
      <c r="ES212" s="81"/>
      <c r="ET212" s="81"/>
      <c r="EU212" s="81"/>
      <c r="EV212" s="81"/>
      <c r="EW212" s="81"/>
      <c r="EX212" s="81"/>
      <c r="EY212" s="81"/>
      <c r="EZ212" s="81"/>
      <c r="FA212" s="81"/>
      <c r="FB212" s="81"/>
      <c r="FC212" s="81"/>
      <c r="FD212" s="81"/>
      <c r="FE212" s="81"/>
      <c r="FF212" s="81"/>
      <c r="FG212" s="81"/>
      <c r="FH212" s="81"/>
      <c r="FI212" s="81"/>
      <c r="FJ212" s="81"/>
      <c r="FK212" s="81"/>
      <c r="FL212" s="81"/>
      <c r="FM212" s="81"/>
      <c r="FN212" s="81"/>
      <c r="FO212" s="81"/>
      <c r="FP212" s="81"/>
      <c r="FQ212" s="81"/>
      <c r="FR212" s="81"/>
      <c r="FS212" s="81"/>
      <c r="FT212" s="81"/>
      <c r="FU212" s="81"/>
      <c r="FV212" s="81"/>
      <c r="FW212" s="81"/>
      <c r="FX212" s="81"/>
      <c r="FY212" s="81"/>
      <c r="FZ212" s="81"/>
      <c r="GA212" s="81"/>
      <c r="GB212" s="81"/>
      <c r="GC212" s="81"/>
      <c r="GD212" s="81"/>
      <c r="GE212" s="81"/>
      <c r="GF212" s="81"/>
      <c r="GG212" s="81"/>
      <c r="GH212" s="81"/>
      <c r="GI212" s="81"/>
      <c r="GJ212" s="81"/>
      <c r="GK212" s="81"/>
      <c r="GL212" s="81"/>
      <c r="GM212" s="81"/>
      <c r="GN212" s="81"/>
      <c r="GO212" s="81"/>
      <c r="GP212" s="81"/>
      <c r="GQ212" s="81"/>
      <c r="GR212" s="81"/>
      <c r="GS212" s="81"/>
      <c r="GT212" s="81"/>
      <c r="GU212" s="81"/>
      <c r="GV212" s="81"/>
      <c r="GW212" s="81"/>
      <c r="GX212" s="81"/>
      <c r="GY212" s="81"/>
      <c r="GZ212" s="81"/>
      <c r="HA212" s="81"/>
      <c r="HB212" s="81"/>
      <c r="HC212" s="81"/>
      <c r="HD212" s="81"/>
      <c r="HE212" s="81"/>
      <c r="HF212" s="81"/>
      <c r="HG212" s="81"/>
      <c r="HH212" s="81"/>
      <c r="HI212" s="81"/>
      <c r="HJ212" s="81"/>
      <c r="HK212" s="81"/>
      <c r="HL212" s="81"/>
      <c r="HM212" s="81"/>
      <c r="HN212" s="81"/>
      <c r="HO212" s="81"/>
      <c r="HP212" s="81"/>
      <c r="HQ212" s="81"/>
      <c r="HR212" s="81"/>
      <c r="HS212" s="81"/>
      <c r="HT212" s="81"/>
      <c r="HU212" s="81"/>
      <c r="HV212" s="81"/>
      <c r="HW212" s="81"/>
      <c r="HX212" s="81"/>
      <c r="HY212" s="81"/>
      <c r="HZ212" s="81"/>
      <c r="IA212" s="81"/>
      <c r="IB212" s="81"/>
      <c r="IC212" s="81"/>
      <c r="ID212" s="81"/>
      <c r="IE212" s="81"/>
      <c r="IF212" s="81"/>
      <c r="IG212" s="81"/>
      <c r="IH212" s="81"/>
      <c r="II212" s="81"/>
      <c r="IJ212" s="81"/>
    </row>
    <row r="213" spans="1:244" s="43" customFormat="1" ht="25" x14ac:dyDescent="0.25">
      <c r="A213" s="54"/>
      <c r="B213" s="44" t="s">
        <v>140</v>
      </c>
      <c r="C213" s="41" t="s">
        <v>53</v>
      </c>
      <c r="D213" s="41">
        <v>1</v>
      </c>
      <c r="E213" s="45">
        <v>0.78</v>
      </c>
      <c r="F213" s="55">
        <f>D213*E213</f>
        <v>0.78</v>
      </c>
      <c r="G213" s="41" t="s">
        <v>53</v>
      </c>
      <c r="H213" s="41">
        <v>0</v>
      </c>
      <c r="I213" s="41">
        <v>0</v>
      </c>
      <c r="J213" s="41">
        <f>$D213*H213</f>
        <v>0</v>
      </c>
      <c r="K213" s="41">
        <f t="shared" si="48"/>
        <v>0</v>
      </c>
      <c r="L213" s="41">
        <f>J213+K213</f>
        <v>0</v>
      </c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81"/>
      <c r="Z213" s="81"/>
      <c r="AA213" s="81"/>
      <c r="AB213" s="81"/>
      <c r="AC213" s="81"/>
      <c r="AD213" s="81"/>
      <c r="AE213" s="81"/>
      <c r="AF213" s="81"/>
      <c r="AG213" s="81"/>
      <c r="AH213" s="81"/>
      <c r="AI213" s="81"/>
      <c r="AJ213" s="81"/>
      <c r="AK213" s="81"/>
      <c r="AL213" s="81"/>
      <c r="AM213" s="81"/>
      <c r="AN213" s="81"/>
      <c r="AO213" s="81"/>
      <c r="AP213" s="81"/>
      <c r="AQ213" s="81"/>
      <c r="AR213" s="81"/>
      <c r="AS213" s="81"/>
      <c r="AT213" s="81"/>
      <c r="AU213" s="81"/>
      <c r="AV213" s="81"/>
      <c r="AW213" s="81"/>
      <c r="AX213" s="81"/>
      <c r="AY213" s="81"/>
      <c r="AZ213" s="81"/>
      <c r="BA213" s="81"/>
      <c r="BB213" s="81"/>
      <c r="BC213" s="81"/>
      <c r="BD213" s="81"/>
      <c r="BE213" s="81"/>
      <c r="BF213" s="81"/>
      <c r="BG213" s="81"/>
      <c r="BH213" s="81"/>
      <c r="BI213" s="81"/>
      <c r="BJ213" s="81"/>
      <c r="BK213" s="81"/>
      <c r="BL213" s="81"/>
      <c r="BM213" s="81"/>
      <c r="BN213" s="81"/>
      <c r="BO213" s="81"/>
      <c r="BP213" s="81"/>
      <c r="BQ213" s="81"/>
      <c r="BR213" s="81"/>
      <c r="BS213" s="81"/>
      <c r="BT213" s="81"/>
      <c r="BU213" s="81"/>
      <c r="BV213" s="81"/>
      <c r="BW213" s="81"/>
      <c r="BX213" s="81"/>
      <c r="BY213" s="81"/>
      <c r="BZ213" s="81"/>
      <c r="CA213" s="81"/>
      <c r="CB213" s="81"/>
      <c r="CC213" s="81"/>
      <c r="CD213" s="81"/>
      <c r="CE213" s="81"/>
      <c r="CF213" s="81"/>
      <c r="CG213" s="81"/>
      <c r="CH213" s="81"/>
      <c r="CI213" s="81"/>
      <c r="CJ213" s="81"/>
      <c r="CK213" s="81"/>
      <c r="CL213" s="81"/>
      <c r="CM213" s="81"/>
      <c r="CN213" s="81"/>
      <c r="CO213" s="81"/>
      <c r="CP213" s="81"/>
      <c r="CQ213" s="81"/>
      <c r="CR213" s="81"/>
      <c r="CS213" s="81"/>
      <c r="CT213" s="81"/>
      <c r="CU213" s="81"/>
      <c r="CV213" s="81"/>
      <c r="CW213" s="81"/>
      <c r="CX213" s="81"/>
      <c r="CY213" s="81"/>
      <c r="CZ213" s="81"/>
      <c r="DA213" s="81"/>
      <c r="DB213" s="81"/>
      <c r="DC213" s="81"/>
      <c r="DD213" s="81"/>
      <c r="DE213" s="81"/>
      <c r="DF213" s="81"/>
      <c r="DG213" s="81"/>
      <c r="DH213" s="81"/>
      <c r="DI213" s="81"/>
      <c r="DJ213" s="81"/>
      <c r="DK213" s="81"/>
      <c r="DL213" s="81"/>
      <c r="DM213" s="81"/>
      <c r="DN213" s="81"/>
      <c r="DO213" s="81"/>
      <c r="DP213" s="81"/>
      <c r="DQ213" s="81"/>
      <c r="DR213" s="81"/>
      <c r="DS213" s="81"/>
      <c r="DT213" s="81"/>
      <c r="DU213" s="81"/>
      <c r="DV213" s="81"/>
      <c r="DW213" s="81"/>
      <c r="DX213" s="81"/>
      <c r="DY213" s="81"/>
      <c r="DZ213" s="81"/>
      <c r="EA213" s="81"/>
      <c r="EB213" s="81"/>
      <c r="EC213" s="81"/>
      <c r="ED213" s="81"/>
      <c r="EE213" s="81"/>
      <c r="EF213" s="81"/>
      <c r="EG213" s="81"/>
      <c r="EH213" s="81"/>
      <c r="EI213" s="81"/>
      <c r="EJ213" s="81"/>
      <c r="EK213" s="81"/>
      <c r="EL213" s="81"/>
      <c r="EM213" s="81"/>
      <c r="EN213" s="81"/>
      <c r="EO213" s="81"/>
      <c r="EP213" s="81"/>
      <c r="EQ213" s="81"/>
      <c r="ER213" s="81"/>
      <c r="ES213" s="81"/>
      <c r="ET213" s="81"/>
      <c r="EU213" s="81"/>
      <c r="EV213" s="81"/>
      <c r="EW213" s="81"/>
      <c r="EX213" s="81"/>
      <c r="EY213" s="81"/>
      <c r="EZ213" s="81"/>
      <c r="FA213" s="81"/>
      <c r="FB213" s="81"/>
      <c r="FC213" s="81"/>
      <c r="FD213" s="81"/>
      <c r="FE213" s="81"/>
      <c r="FF213" s="81"/>
      <c r="FG213" s="81"/>
      <c r="FH213" s="81"/>
      <c r="FI213" s="81"/>
      <c r="FJ213" s="81"/>
      <c r="FK213" s="81"/>
      <c r="FL213" s="81"/>
      <c r="FM213" s="81"/>
      <c r="FN213" s="81"/>
      <c r="FO213" s="81"/>
      <c r="FP213" s="81"/>
      <c r="FQ213" s="81"/>
      <c r="FR213" s="81"/>
      <c r="FS213" s="81"/>
      <c r="FT213" s="81"/>
      <c r="FU213" s="81"/>
      <c r="FV213" s="81"/>
      <c r="FW213" s="81"/>
      <c r="FX213" s="81"/>
      <c r="FY213" s="81"/>
      <c r="FZ213" s="81"/>
      <c r="GA213" s="81"/>
      <c r="GB213" s="81"/>
      <c r="GC213" s="81"/>
      <c r="GD213" s="81"/>
      <c r="GE213" s="81"/>
      <c r="GF213" s="81"/>
      <c r="GG213" s="81"/>
      <c r="GH213" s="81"/>
      <c r="GI213" s="81"/>
      <c r="GJ213" s="81"/>
      <c r="GK213" s="81"/>
      <c r="GL213" s="81"/>
      <c r="GM213" s="81"/>
      <c r="GN213" s="81"/>
      <c r="GO213" s="81"/>
      <c r="GP213" s="81"/>
      <c r="GQ213" s="81"/>
      <c r="GR213" s="81"/>
      <c r="GS213" s="81"/>
      <c r="GT213" s="81"/>
      <c r="GU213" s="81"/>
      <c r="GV213" s="81"/>
      <c r="GW213" s="81"/>
      <c r="GX213" s="81"/>
      <c r="GY213" s="81"/>
      <c r="GZ213" s="81"/>
      <c r="HA213" s="81"/>
      <c r="HB213" s="81"/>
      <c r="HC213" s="81"/>
      <c r="HD213" s="81"/>
      <c r="HE213" s="81"/>
      <c r="HF213" s="81"/>
      <c r="HG213" s="81"/>
      <c r="HH213" s="81"/>
      <c r="HI213" s="81"/>
      <c r="HJ213" s="81"/>
      <c r="HK213" s="81"/>
      <c r="HL213" s="81"/>
      <c r="HM213" s="81"/>
      <c r="HN213" s="81"/>
      <c r="HO213" s="81"/>
      <c r="HP213" s="81"/>
      <c r="HQ213" s="81"/>
      <c r="HR213" s="81"/>
      <c r="HS213" s="81"/>
      <c r="HT213" s="81"/>
      <c r="HU213" s="81"/>
      <c r="HV213" s="81"/>
      <c r="HW213" s="81"/>
      <c r="HX213" s="81"/>
      <c r="HY213" s="81"/>
      <c r="HZ213" s="81"/>
      <c r="IA213" s="81"/>
      <c r="IB213" s="81"/>
      <c r="IC213" s="81"/>
      <c r="ID213" s="81"/>
      <c r="IE213" s="81"/>
      <c r="IF213" s="81"/>
      <c r="IG213" s="81"/>
      <c r="IH213" s="81"/>
      <c r="II213" s="81"/>
      <c r="IJ213" s="81"/>
    </row>
    <row r="214" spans="1:244" s="43" customFormat="1" ht="37.5" x14ac:dyDescent="0.25">
      <c r="A214" s="54"/>
      <c r="B214" s="44" t="s">
        <v>141</v>
      </c>
      <c r="C214" s="41" t="s">
        <v>53</v>
      </c>
      <c r="D214" s="41">
        <v>1</v>
      </c>
      <c r="E214" s="45">
        <v>0.78</v>
      </c>
      <c r="F214" s="55">
        <f>D214*E214</f>
        <v>0.78</v>
      </c>
      <c r="G214" s="41" t="s">
        <v>53</v>
      </c>
      <c r="H214" s="41">
        <v>0</v>
      </c>
      <c r="I214" s="41">
        <v>0</v>
      </c>
      <c r="J214" s="41">
        <f>$D214*H214</f>
        <v>0</v>
      </c>
      <c r="K214" s="41">
        <f t="shared" si="48"/>
        <v>0</v>
      </c>
      <c r="L214" s="41">
        <f>J214+K214</f>
        <v>0</v>
      </c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  <c r="AA214" s="81"/>
      <c r="AB214" s="81"/>
      <c r="AC214" s="81"/>
      <c r="AD214" s="81"/>
      <c r="AE214" s="81"/>
      <c r="AF214" s="81"/>
      <c r="AG214" s="81"/>
      <c r="AH214" s="81"/>
      <c r="AI214" s="81"/>
      <c r="AJ214" s="81"/>
      <c r="AK214" s="81"/>
      <c r="AL214" s="81"/>
      <c r="AM214" s="81"/>
      <c r="AN214" s="81"/>
      <c r="AO214" s="81"/>
      <c r="AP214" s="81"/>
      <c r="AQ214" s="81"/>
      <c r="AR214" s="81"/>
      <c r="AS214" s="81"/>
      <c r="AT214" s="81"/>
      <c r="AU214" s="81"/>
      <c r="AV214" s="81"/>
      <c r="AW214" s="81"/>
      <c r="AX214" s="81"/>
      <c r="AY214" s="81"/>
      <c r="AZ214" s="81"/>
      <c r="BA214" s="81"/>
      <c r="BB214" s="81"/>
      <c r="BC214" s="81"/>
      <c r="BD214" s="81"/>
      <c r="BE214" s="81"/>
      <c r="BF214" s="81"/>
      <c r="BG214" s="81"/>
      <c r="BH214" s="81"/>
      <c r="BI214" s="81"/>
      <c r="BJ214" s="81"/>
      <c r="BK214" s="81"/>
      <c r="BL214" s="81"/>
      <c r="BM214" s="81"/>
      <c r="BN214" s="81"/>
      <c r="BO214" s="81"/>
      <c r="BP214" s="81"/>
      <c r="BQ214" s="81"/>
      <c r="BR214" s="81"/>
      <c r="BS214" s="81"/>
      <c r="BT214" s="81"/>
      <c r="BU214" s="81"/>
      <c r="BV214" s="81"/>
      <c r="BW214" s="81"/>
      <c r="BX214" s="81"/>
      <c r="BY214" s="81"/>
      <c r="BZ214" s="81"/>
      <c r="CA214" s="81"/>
      <c r="CB214" s="81"/>
      <c r="CC214" s="81"/>
      <c r="CD214" s="81"/>
      <c r="CE214" s="81"/>
      <c r="CF214" s="81"/>
      <c r="CG214" s="81"/>
      <c r="CH214" s="81"/>
      <c r="CI214" s="81"/>
      <c r="CJ214" s="81"/>
      <c r="CK214" s="81"/>
      <c r="CL214" s="81"/>
      <c r="CM214" s="81"/>
      <c r="CN214" s="81"/>
      <c r="CO214" s="81"/>
      <c r="CP214" s="81"/>
      <c r="CQ214" s="81"/>
      <c r="CR214" s="81"/>
      <c r="CS214" s="81"/>
      <c r="CT214" s="81"/>
      <c r="CU214" s="81"/>
      <c r="CV214" s="81"/>
      <c r="CW214" s="81"/>
      <c r="CX214" s="81"/>
      <c r="CY214" s="81"/>
      <c r="CZ214" s="81"/>
      <c r="DA214" s="81"/>
      <c r="DB214" s="81"/>
      <c r="DC214" s="81"/>
      <c r="DD214" s="81"/>
      <c r="DE214" s="81"/>
      <c r="DF214" s="81"/>
      <c r="DG214" s="81"/>
      <c r="DH214" s="81"/>
      <c r="DI214" s="81"/>
      <c r="DJ214" s="81"/>
      <c r="DK214" s="81"/>
      <c r="DL214" s="81"/>
      <c r="DM214" s="81"/>
      <c r="DN214" s="81"/>
      <c r="DO214" s="81"/>
      <c r="DP214" s="81"/>
      <c r="DQ214" s="81"/>
      <c r="DR214" s="81"/>
      <c r="DS214" s="81"/>
      <c r="DT214" s="81"/>
      <c r="DU214" s="81"/>
      <c r="DV214" s="81"/>
      <c r="DW214" s="81"/>
      <c r="DX214" s="81"/>
      <c r="DY214" s="81"/>
      <c r="DZ214" s="81"/>
      <c r="EA214" s="81"/>
      <c r="EB214" s="81"/>
      <c r="EC214" s="81"/>
      <c r="ED214" s="81"/>
      <c r="EE214" s="81"/>
      <c r="EF214" s="81"/>
      <c r="EG214" s="81"/>
      <c r="EH214" s="81"/>
      <c r="EI214" s="81"/>
      <c r="EJ214" s="81"/>
      <c r="EK214" s="81"/>
      <c r="EL214" s="81"/>
      <c r="EM214" s="81"/>
      <c r="EN214" s="81"/>
      <c r="EO214" s="81"/>
      <c r="EP214" s="81"/>
      <c r="EQ214" s="81"/>
      <c r="ER214" s="81"/>
      <c r="ES214" s="81"/>
      <c r="ET214" s="81"/>
      <c r="EU214" s="81"/>
      <c r="EV214" s="81"/>
      <c r="EW214" s="81"/>
      <c r="EX214" s="81"/>
      <c r="EY214" s="81"/>
      <c r="EZ214" s="81"/>
      <c r="FA214" s="81"/>
      <c r="FB214" s="81"/>
      <c r="FC214" s="81"/>
      <c r="FD214" s="81"/>
      <c r="FE214" s="81"/>
      <c r="FF214" s="81"/>
      <c r="FG214" s="81"/>
      <c r="FH214" s="81"/>
      <c r="FI214" s="81"/>
      <c r="FJ214" s="81"/>
      <c r="FK214" s="81"/>
      <c r="FL214" s="81"/>
      <c r="FM214" s="81"/>
      <c r="FN214" s="81"/>
      <c r="FO214" s="81"/>
      <c r="FP214" s="81"/>
      <c r="FQ214" s="81"/>
      <c r="FR214" s="81"/>
      <c r="FS214" s="81"/>
      <c r="FT214" s="81"/>
      <c r="FU214" s="81"/>
      <c r="FV214" s="81"/>
      <c r="FW214" s="81"/>
      <c r="FX214" s="81"/>
      <c r="FY214" s="81"/>
      <c r="FZ214" s="81"/>
      <c r="GA214" s="81"/>
      <c r="GB214" s="81"/>
      <c r="GC214" s="81"/>
      <c r="GD214" s="81"/>
      <c r="GE214" s="81"/>
      <c r="GF214" s="81"/>
      <c r="GG214" s="81"/>
      <c r="GH214" s="81"/>
      <c r="GI214" s="81"/>
      <c r="GJ214" s="81"/>
      <c r="GK214" s="81"/>
      <c r="GL214" s="81"/>
      <c r="GM214" s="81"/>
      <c r="GN214" s="81"/>
      <c r="GO214" s="81"/>
      <c r="GP214" s="81"/>
      <c r="GQ214" s="81"/>
      <c r="GR214" s="81"/>
      <c r="GS214" s="81"/>
      <c r="GT214" s="81"/>
      <c r="GU214" s="81"/>
      <c r="GV214" s="81"/>
      <c r="GW214" s="81"/>
      <c r="GX214" s="81"/>
      <c r="GY214" s="81"/>
      <c r="GZ214" s="81"/>
      <c r="HA214" s="81"/>
      <c r="HB214" s="81"/>
      <c r="HC214" s="81"/>
      <c r="HD214" s="81"/>
      <c r="HE214" s="81"/>
      <c r="HF214" s="81"/>
      <c r="HG214" s="81"/>
      <c r="HH214" s="81"/>
      <c r="HI214" s="81"/>
      <c r="HJ214" s="81"/>
      <c r="HK214" s="81"/>
      <c r="HL214" s="81"/>
      <c r="HM214" s="81"/>
      <c r="HN214" s="81"/>
      <c r="HO214" s="81"/>
      <c r="HP214" s="81"/>
      <c r="HQ214" s="81"/>
      <c r="HR214" s="81"/>
      <c r="HS214" s="81"/>
      <c r="HT214" s="81"/>
      <c r="HU214" s="81"/>
      <c r="HV214" s="81"/>
      <c r="HW214" s="81"/>
      <c r="HX214" s="81"/>
      <c r="HY214" s="81"/>
      <c r="HZ214" s="81"/>
      <c r="IA214" s="81"/>
      <c r="IB214" s="81"/>
      <c r="IC214" s="81"/>
      <c r="ID214" s="81"/>
      <c r="IE214" s="81"/>
      <c r="IF214" s="81"/>
      <c r="IG214" s="81"/>
      <c r="IH214" s="81"/>
      <c r="II214" s="81"/>
      <c r="IJ214" s="81"/>
    </row>
    <row r="215" spans="1:244" s="81" customFormat="1" ht="25" x14ac:dyDescent="0.25">
      <c r="A215" s="54"/>
      <c r="B215" s="44" t="s">
        <v>222</v>
      </c>
      <c r="C215" s="41" t="s">
        <v>53</v>
      </c>
      <c r="D215" s="41">
        <v>1</v>
      </c>
      <c r="E215" s="45">
        <v>4.71</v>
      </c>
      <c r="F215" s="55">
        <f>D215*E215</f>
        <v>4.71</v>
      </c>
      <c r="G215" s="41" t="s">
        <v>53</v>
      </c>
      <c r="H215" s="41">
        <v>0</v>
      </c>
      <c r="I215" s="41">
        <v>0</v>
      </c>
      <c r="J215" s="41">
        <f>$D215*H215</f>
        <v>0</v>
      </c>
      <c r="K215" s="41">
        <f t="shared" si="48"/>
        <v>0</v>
      </c>
      <c r="L215" s="41">
        <f>J215+K215</f>
        <v>0</v>
      </c>
    </row>
    <row r="216" spans="1:244" s="43" customFormat="1" ht="13" x14ac:dyDescent="0.25">
      <c r="A216" s="18"/>
      <c r="B216" s="13"/>
      <c r="C216" s="12"/>
      <c r="D216" s="24"/>
      <c r="E216" s="12"/>
      <c r="F216" s="12"/>
      <c r="G216" s="12"/>
      <c r="H216" s="11"/>
      <c r="I216" s="11"/>
      <c r="J216" s="11"/>
      <c r="K216" s="11"/>
      <c r="L216" s="11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  <c r="EH216" s="3"/>
      <c r="EI216" s="3"/>
      <c r="EJ216" s="3"/>
      <c r="EK216" s="3"/>
      <c r="EL216" s="3"/>
      <c r="EM216" s="3"/>
      <c r="EN216" s="3"/>
      <c r="EO216" s="3"/>
      <c r="EP216" s="3"/>
      <c r="EQ216" s="3"/>
      <c r="ER216" s="3"/>
      <c r="ES216" s="3"/>
      <c r="ET216" s="3"/>
      <c r="EU216" s="3"/>
      <c r="EV216" s="3"/>
      <c r="EW216" s="3"/>
      <c r="EX216" s="3"/>
      <c r="EY216" s="3"/>
      <c r="EZ216" s="3"/>
      <c r="FA216" s="3"/>
      <c r="FB216" s="3"/>
      <c r="FC216" s="3"/>
      <c r="FD216" s="3"/>
      <c r="FE216" s="3"/>
      <c r="FF216" s="3"/>
      <c r="FG216" s="3"/>
      <c r="FH216" s="3"/>
      <c r="FI216" s="3"/>
      <c r="FJ216" s="3"/>
      <c r="FK216" s="3"/>
      <c r="FL216" s="3"/>
      <c r="FM216" s="3"/>
      <c r="FN216" s="3"/>
      <c r="FO216" s="3"/>
      <c r="FP216" s="3"/>
      <c r="FQ216" s="3"/>
      <c r="FR216" s="3"/>
      <c r="FS216" s="3"/>
      <c r="FT216" s="3"/>
      <c r="FU216" s="3"/>
      <c r="FV216" s="3"/>
      <c r="FW216" s="3"/>
      <c r="FX216" s="3"/>
      <c r="FY216" s="3"/>
      <c r="FZ216" s="3"/>
      <c r="GA216" s="3"/>
      <c r="GB216" s="3"/>
      <c r="GC216" s="3"/>
      <c r="GD216" s="3"/>
      <c r="GE216" s="3"/>
      <c r="GF216" s="3"/>
      <c r="GG216" s="3"/>
      <c r="GH216" s="3"/>
      <c r="GI216" s="3"/>
      <c r="GJ216" s="3"/>
      <c r="GK216" s="3"/>
      <c r="GL216" s="3"/>
      <c r="GM216" s="3"/>
      <c r="GN216" s="3"/>
      <c r="GO216" s="3"/>
      <c r="GP216" s="3"/>
      <c r="GQ216" s="3"/>
      <c r="GR216" s="3"/>
      <c r="GS216" s="3"/>
      <c r="GT216" s="3"/>
      <c r="GU216" s="3"/>
      <c r="GV216" s="3"/>
      <c r="GW216" s="3"/>
      <c r="GX216" s="3"/>
      <c r="GY216" s="3"/>
      <c r="GZ216" s="3"/>
      <c r="HA216" s="3"/>
      <c r="HB216" s="3"/>
      <c r="HC216" s="3"/>
      <c r="HD216" s="3"/>
      <c r="HE216" s="3"/>
      <c r="HF216" s="3"/>
      <c r="HG216" s="3"/>
      <c r="HH216" s="3"/>
      <c r="HI216" s="3"/>
      <c r="HJ216" s="3"/>
      <c r="HK216" s="3"/>
      <c r="HL216" s="3"/>
      <c r="HM216" s="3"/>
      <c r="HN216" s="3"/>
      <c r="HO216" s="3"/>
      <c r="HP216" s="3"/>
      <c r="HQ216" s="3"/>
      <c r="HR216" s="3"/>
      <c r="HS216" s="3"/>
      <c r="HT216" s="3"/>
      <c r="HU216" s="3"/>
      <c r="HV216" s="3"/>
      <c r="HW216" s="3"/>
      <c r="HX216" s="3"/>
      <c r="HY216" s="3"/>
      <c r="HZ216" s="3"/>
      <c r="IA216" s="3"/>
      <c r="IB216" s="3"/>
      <c r="IC216" s="3"/>
      <c r="ID216" s="3"/>
      <c r="IE216" s="3"/>
      <c r="IF216" s="3"/>
      <c r="IG216" s="3"/>
      <c r="IH216" s="3"/>
      <c r="II216" s="3"/>
      <c r="IJ216" s="3"/>
    </row>
    <row r="217" spans="1:244" s="81" customFormat="1" ht="15" x14ac:dyDescent="0.25">
      <c r="A217" s="18"/>
      <c r="B217" s="13" t="s">
        <v>223</v>
      </c>
      <c r="C217" s="12"/>
      <c r="D217" s="24"/>
      <c r="E217" s="12"/>
      <c r="F217" s="12"/>
      <c r="G217" s="12"/>
      <c r="H217" s="11"/>
      <c r="I217" s="11"/>
      <c r="J217" s="11"/>
      <c r="K217" s="11"/>
      <c r="L217" s="11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  <c r="FC217" s="3"/>
      <c r="FD217" s="3"/>
      <c r="FE217" s="3"/>
      <c r="FF217" s="3"/>
      <c r="FG217" s="3"/>
      <c r="FH217" s="3"/>
      <c r="FI217" s="3"/>
      <c r="FJ217" s="3"/>
      <c r="FK217" s="3"/>
      <c r="FL217" s="3"/>
      <c r="FM217" s="3"/>
      <c r="FN217" s="3"/>
      <c r="FO217" s="3"/>
      <c r="FP217" s="3"/>
      <c r="FQ217" s="3"/>
      <c r="FR217" s="3"/>
      <c r="FS217" s="3"/>
      <c r="FT217" s="3"/>
      <c r="FU217" s="3"/>
      <c r="FV217" s="3"/>
      <c r="FW217" s="3"/>
      <c r="FX217" s="3"/>
      <c r="FY217" s="3"/>
      <c r="FZ217" s="3"/>
      <c r="GA217" s="3"/>
      <c r="GB217" s="3"/>
      <c r="GC217" s="3"/>
      <c r="GD217" s="3"/>
      <c r="GE217" s="3"/>
      <c r="GF217" s="3"/>
      <c r="GG217" s="3"/>
      <c r="GH217" s="3"/>
      <c r="GI217" s="3"/>
      <c r="GJ217" s="3"/>
      <c r="GK217" s="3"/>
      <c r="GL217" s="3"/>
      <c r="GM217" s="3"/>
      <c r="GN217" s="3"/>
      <c r="GO217" s="3"/>
      <c r="GP217" s="3"/>
      <c r="GQ217" s="3"/>
      <c r="GR217" s="3"/>
      <c r="GS217" s="3"/>
      <c r="GT217" s="3"/>
      <c r="GU217" s="3"/>
      <c r="GV217" s="3"/>
      <c r="GW217" s="3"/>
      <c r="GX217" s="3"/>
      <c r="GY217" s="3"/>
      <c r="GZ217" s="3"/>
      <c r="HA217" s="3"/>
      <c r="HB217" s="3"/>
      <c r="HC217" s="3"/>
      <c r="HD217" s="3"/>
      <c r="HE217" s="3"/>
      <c r="HF217" s="3"/>
      <c r="HG217" s="3"/>
      <c r="HH217" s="3"/>
      <c r="HI217" s="3"/>
      <c r="HJ217" s="3"/>
      <c r="HK217" s="3"/>
      <c r="HL217" s="3"/>
      <c r="HM217" s="3"/>
      <c r="HN217" s="3"/>
      <c r="HO217" s="3"/>
      <c r="HP217" s="3"/>
      <c r="HQ217" s="3"/>
      <c r="HR217" s="3"/>
      <c r="HS217" s="3"/>
      <c r="HT217" s="3"/>
      <c r="HU217" s="3"/>
      <c r="HV217" s="3"/>
      <c r="HW217" s="3"/>
      <c r="HX217" s="3"/>
      <c r="HY217" s="3"/>
      <c r="HZ217" s="3"/>
      <c r="IA217" s="3"/>
      <c r="IB217" s="3"/>
      <c r="IC217" s="3"/>
      <c r="ID217" s="3"/>
      <c r="IE217" s="3"/>
      <c r="IF217" s="3"/>
      <c r="IG217" s="3"/>
      <c r="IH217" s="3"/>
      <c r="II217" s="3"/>
      <c r="IJ217" s="3"/>
    </row>
    <row r="218" spans="1:244" s="43" customFormat="1" ht="25" x14ac:dyDescent="0.25">
      <c r="A218" s="54"/>
      <c r="B218" s="40" t="s">
        <v>284</v>
      </c>
      <c r="C218" s="41" t="s">
        <v>68</v>
      </c>
      <c r="D218" s="76">
        <f>CEILING(1.01*(2+0.5+0.4+1.8),1)</f>
        <v>5</v>
      </c>
      <c r="E218" s="45">
        <v>1.2</v>
      </c>
      <c r="F218" s="55">
        <f t="shared" ref="F218:F226" si="49">D218*E218</f>
        <v>6</v>
      </c>
      <c r="G218" s="41" t="s">
        <v>69</v>
      </c>
      <c r="H218" s="41">
        <v>0</v>
      </c>
      <c r="I218" s="41">
        <v>0</v>
      </c>
      <c r="J218" s="41">
        <f t="shared" ref="J218:J226" si="50">$F218*H218</f>
        <v>0</v>
      </c>
      <c r="K218" s="41">
        <f t="shared" ref="K218:K226" si="51">$D218*I218</f>
        <v>0</v>
      </c>
      <c r="L218" s="41">
        <f t="shared" ref="L218:L226" si="52">J218+K218</f>
        <v>0</v>
      </c>
    </row>
    <row r="219" spans="1:244" s="43" customFormat="1" ht="25" x14ac:dyDescent="0.25">
      <c r="A219" s="54"/>
      <c r="B219" s="40" t="s">
        <v>286</v>
      </c>
      <c r="C219" s="41" t="s">
        <v>68</v>
      </c>
      <c r="D219" s="76">
        <f>CEILING(1.01*(1.5+1.2+3.2+2+1+4.5+2),1)</f>
        <v>16</v>
      </c>
      <c r="E219" s="45">
        <v>1.99</v>
      </c>
      <c r="F219" s="55">
        <f t="shared" si="49"/>
        <v>31.84</v>
      </c>
      <c r="G219" s="41" t="s">
        <v>69</v>
      </c>
      <c r="H219" s="41">
        <v>0</v>
      </c>
      <c r="I219" s="41">
        <v>0</v>
      </c>
      <c r="J219" s="41">
        <f t="shared" si="50"/>
        <v>0</v>
      </c>
      <c r="K219" s="41">
        <f t="shared" si="51"/>
        <v>0</v>
      </c>
      <c r="L219" s="41">
        <f t="shared" si="52"/>
        <v>0</v>
      </c>
    </row>
    <row r="220" spans="1:244" s="43" customFormat="1" ht="25" x14ac:dyDescent="0.25">
      <c r="A220" s="54"/>
      <c r="B220" s="40" t="s">
        <v>287</v>
      </c>
      <c r="C220" s="41" t="s">
        <v>68</v>
      </c>
      <c r="D220" s="76">
        <f>CEILING(1.01*(1+1.5+3+1),1)</f>
        <v>7</v>
      </c>
      <c r="E220" s="45">
        <v>2.5499999999999998</v>
      </c>
      <c r="F220" s="55">
        <f t="shared" si="49"/>
        <v>17.849999999999998</v>
      </c>
      <c r="G220" s="41" t="s">
        <v>69</v>
      </c>
      <c r="H220" s="41">
        <v>0</v>
      </c>
      <c r="I220" s="41">
        <v>0</v>
      </c>
      <c r="J220" s="41">
        <f t="shared" si="50"/>
        <v>0</v>
      </c>
      <c r="K220" s="41">
        <f t="shared" si="51"/>
        <v>0</v>
      </c>
      <c r="L220" s="41">
        <f t="shared" si="52"/>
        <v>0</v>
      </c>
    </row>
    <row r="221" spans="1:244" s="43" customFormat="1" ht="25" x14ac:dyDescent="0.25">
      <c r="A221" s="54"/>
      <c r="B221" s="40" t="s">
        <v>289</v>
      </c>
      <c r="C221" s="41" t="s">
        <v>68</v>
      </c>
      <c r="D221" s="76">
        <f>CEILING(1.01*(1.2+1.1+0.5+0.5+0.5+1+1.5+2.2+4),1)</f>
        <v>13</v>
      </c>
      <c r="E221" s="45">
        <v>4.1100000000000003</v>
      </c>
      <c r="F221" s="55">
        <f t="shared" si="49"/>
        <v>53.430000000000007</v>
      </c>
      <c r="G221" s="41" t="s">
        <v>69</v>
      </c>
      <c r="H221" s="41">
        <v>0</v>
      </c>
      <c r="I221" s="41">
        <v>0</v>
      </c>
      <c r="J221" s="41">
        <f t="shared" si="50"/>
        <v>0</v>
      </c>
      <c r="K221" s="41">
        <f t="shared" si="51"/>
        <v>0</v>
      </c>
      <c r="L221" s="41">
        <f t="shared" si="52"/>
        <v>0</v>
      </c>
    </row>
    <row r="222" spans="1:244" s="43" customFormat="1" ht="25" x14ac:dyDescent="0.25">
      <c r="A222" s="54"/>
      <c r="B222" s="40" t="s">
        <v>290</v>
      </c>
      <c r="C222" s="41" t="s">
        <v>68</v>
      </c>
      <c r="D222" s="76">
        <f>CEILING(1.01*(1.5+1.85+2.5+0.2+2+5.5),1)</f>
        <v>14</v>
      </c>
      <c r="E222" s="45">
        <v>5.75</v>
      </c>
      <c r="F222" s="55">
        <f t="shared" si="49"/>
        <v>80.5</v>
      </c>
      <c r="G222" s="41" t="s">
        <v>69</v>
      </c>
      <c r="H222" s="41">
        <v>0</v>
      </c>
      <c r="I222" s="41">
        <v>0</v>
      </c>
      <c r="J222" s="41">
        <f t="shared" si="50"/>
        <v>0</v>
      </c>
      <c r="K222" s="41">
        <f t="shared" si="51"/>
        <v>0</v>
      </c>
      <c r="L222" s="41">
        <f t="shared" si="52"/>
        <v>0</v>
      </c>
    </row>
    <row r="223" spans="1:244" s="84" customFormat="1" ht="25" x14ac:dyDescent="0.25">
      <c r="A223" s="54"/>
      <c r="B223" s="40" t="s">
        <v>291</v>
      </c>
      <c r="C223" s="41" t="s">
        <v>68</v>
      </c>
      <c r="D223" s="76">
        <f>CEILING(1.01*(2*3.7+0.5),1)</f>
        <v>8</v>
      </c>
      <c r="E223" s="45">
        <v>7.57</v>
      </c>
      <c r="F223" s="55">
        <f t="shared" si="49"/>
        <v>60.56</v>
      </c>
      <c r="G223" s="41" t="s">
        <v>69</v>
      </c>
      <c r="H223" s="41">
        <v>0</v>
      </c>
      <c r="I223" s="41">
        <v>0</v>
      </c>
      <c r="J223" s="41">
        <f t="shared" si="50"/>
        <v>0</v>
      </c>
      <c r="K223" s="41">
        <f t="shared" si="51"/>
        <v>0</v>
      </c>
      <c r="L223" s="41">
        <f t="shared" si="52"/>
        <v>0</v>
      </c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  <c r="AB223" s="43"/>
      <c r="AC223" s="43"/>
      <c r="AD223" s="43"/>
      <c r="AE223" s="43"/>
      <c r="AF223" s="43"/>
      <c r="AG223" s="43"/>
      <c r="AH223" s="43"/>
      <c r="AI223" s="43"/>
      <c r="AJ223" s="43"/>
      <c r="AK223" s="43"/>
      <c r="AL223" s="43"/>
      <c r="AM223" s="43"/>
      <c r="AN223" s="43"/>
      <c r="AO223" s="43"/>
      <c r="AP223" s="43"/>
      <c r="AQ223" s="43"/>
      <c r="AR223" s="43"/>
      <c r="AS223" s="43"/>
      <c r="AT223" s="43"/>
      <c r="AU223" s="43"/>
      <c r="AV223" s="43"/>
      <c r="AW223" s="43"/>
      <c r="AX223" s="43"/>
      <c r="AY223" s="43"/>
      <c r="AZ223" s="43"/>
      <c r="BA223" s="43"/>
      <c r="BB223" s="43"/>
      <c r="BC223" s="43"/>
      <c r="BD223" s="43"/>
      <c r="BE223" s="43"/>
      <c r="BF223" s="43"/>
      <c r="BG223" s="43"/>
      <c r="BH223" s="43"/>
      <c r="BI223" s="43"/>
      <c r="BJ223" s="43"/>
      <c r="BK223" s="43"/>
      <c r="BL223" s="43"/>
      <c r="BM223" s="43"/>
      <c r="BN223" s="43"/>
      <c r="BO223" s="43"/>
      <c r="BP223" s="43"/>
      <c r="BQ223" s="43"/>
      <c r="BR223" s="43"/>
      <c r="BS223" s="43"/>
      <c r="BT223" s="43"/>
      <c r="BU223" s="43"/>
      <c r="BV223" s="43"/>
      <c r="BW223" s="43"/>
      <c r="BX223" s="43"/>
      <c r="BY223" s="43"/>
      <c r="BZ223" s="43"/>
      <c r="CA223" s="43"/>
      <c r="CB223" s="43"/>
      <c r="CC223" s="43"/>
      <c r="CD223" s="43"/>
      <c r="CE223" s="43"/>
      <c r="CF223" s="43"/>
      <c r="CG223" s="43"/>
      <c r="CH223" s="43"/>
      <c r="CI223" s="43"/>
      <c r="CJ223" s="43"/>
      <c r="CK223" s="43"/>
      <c r="CL223" s="43"/>
      <c r="CM223" s="43"/>
      <c r="CN223" s="43"/>
      <c r="CO223" s="43"/>
      <c r="CP223" s="43"/>
      <c r="CQ223" s="43"/>
      <c r="CR223" s="43"/>
      <c r="CS223" s="43"/>
      <c r="CT223" s="43"/>
      <c r="CU223" s="43"/>
      <c r="CV223" s="43"/>
      <c r="CW223" s="43"/>
      <c r="CX223" s="43"/>
      <c r="CY223" s="43"/>
      <c r="CZ223" s="43"/>
      <c r="DA223" s="43"/>
      <c r="DB223" s="43"/>
      <c r="DC223" s="43"/>
      <c r="DD223" s="43"/>
      <c r="DE223" s="43"/>
      <c r="DF223" s="43"/>
      <c r="DG223" s="43"/>
      <c r="DH223" s="43"/>
      <c r="DI223" s="43"/>
      <c r="DJ223" s="43"/>
      <c r="DK223" s="43"/>
      <c r="DL223" s="43"/>
      <c r="DM223" s="43"/>
      <c r="DN223" s="43"/>
      <c r="DO223" s="43"/>
      <c r="DP223" s="43"/>
      <c r="DQ223" s="43"/>
      <c r="DR223" s="43"/>
      <c r="DS223" s="43"/>
      <c r="DT223" s="43"/>
      <c r="DU223" s="43"/>
      <c r="DV223" s="43"/>
      <c r="DW223" s="43"/>
      <c r="DX223" s="43"/>
      <c r="DY223" s="43"/>
      <c r="DZ223" s="43"/>
      <c r="EA223" s="43"/>
      <c r="EB223" s="43"/>
      <c r="EC223" s="43"/>
      <c r="ED223" s="43"/>
      <c r="EE223" s="43"/>
      <c r="EF223" s="43"/>
      <c r="EG223" s="43"/>
      <c r="EH223" s="43"/>
      <c r="EI223" s="43"/>
      <c r="EJ223" s="43"/>
      <c r="EK223" s="43"/>
      <c r="EL223" s="43"/>
      <c r="EM223" s="43"/>
      <c r="EN223" s="43"/>
      <c r="EO223" s="43"/>
      <c r="EP223" s="43"/>
      <c r="EQ223" s="43"/>
      <c r="ER223" s="43"/>
      <c r="ES223" s="43"/>
      <c r="ET223" s="43"/>
      <c r="EU223" s="43"/>
      <c r="EV223" s="43"/>
      <c r="EW223" s="43"/>
      <c r="EX223" s="43"/>
      <c r="EY223" s="43"/>
      <c r="EZ223" s="43"/>
      <c r="FA223" s="43"/>
      <c r="FB223" s="43"/>
      <c r="FC223" s="43"/>
      <c r="FD223" s="43"/>
      <c r="FE223" s="43"/>
      <c r="FF223" s="43"/>
      <c r="FG223" s="43"/>
      <c r="FH223" s="43"/>
      <c r="FI223" s="43"/>
      <c r="FJ223" s="43"/>
      <c r="FK223" s="43"/>
      <c r="FL223" s="43"/>
      <c r="FM223" s="43"/>
      <c r="FN223" s="43"/>
      <c r="FO223" s="43"/>
      <c r="FP223" s="43"/>
      <c r="FQ223" s="43"/>
      <c r="FR223" s="43"/>
      <c r="FS223" s="43"/>
      <c r="FT223" s="43"/>
      <c r="FU223" s="43"/>
      <c r="FV223" s="43"/>
      <c r="FW223" s="43"/>
      <c r="FX223" s="43"/>
      <c r="FY223" s="43"/>
      <c r="FZ223" s="43"/>
      <c r="GA223" s="43"/>
      <c r="GB223" s="43"/>
      <c r="GC223" s="43"/>
      <c r="GD223" s="43"/>
      <c r="GE223" s="43"/>
      <c r="GF223" s="43"/>
      <c r="GG223" s="43"/>
      <c r="GH223" s="43"/>
      <c r="GI223" s="43"/>
      <c r="GJ223" s="43"/>
      <c r="GK223" s="43"/>
      <c r="GL223" s="43"/>
      <c r="GM223" s="43"/>
      <c r="GN223" s="43"/>
      <c r="GO223" s="43"/>
      <c r="GP223" s="43"/>
      <c r="GQ223" s="43"/>
      <c r="GR223" s="43"/>
      <c r="GS223" s="43"/>
      <c r="GT223" s="43"/>
      <c r="GU223" s="43"/>
      <c r="GV223" s="43"/>
      <c r="GW223" s="43"/>
      <c r="GX223" s="43"/>
      <c r="GY223" s="43"/>
      <c r="GZ223" s="43"/>
      <c r="HA223" s="43"/>
      <c r="HB223" s="43"/>
      <c r="HC223" s="43"/>
      <c r="HD223" s="43"/>
      <c r="HE223" s="43"/>
      <c r="HF223" s="43"/>
      <c r="HG223" s="43"/>
      <c r="HH223" s="43"/>
      <c r="HI223" s="43"/>
      <c r="HJ223" s="43"/>
      <c r="HK223" s="43"/>
      <c r="HL223" s="43"/>
      <c r="HM223" s="43"/>
      <c r="HN223" s="43"/>
      <c r="HO223" s="43"/>
      <c r="HP223" s="43"/>
      <c r="HQ223" s="43"/>
      <c r="HR223" s="43"/>
      <c r="HS223" s="43"/>
      <c r="HT223" s="43"/>
      <c r="HU223" s="43"/>
      <c r="HV223" s="43"/>
      <c r="HW223" s="43"/>
      <c r="HX223" s="43"/>
      <c r="HY223" s="43"/>
      <c r="HZ223" s="43"/>
      <c r="IA223" s="43"/>
      <c r="IB223" s="43"/>
      <c r="IC223" s="43"/>
      <c r="ID223" s="43"/>
      <c r="IE223" s="43"/>
      <c r="IF223" s="43"/>
      <c r="IG223" s="43"/>
      <c r="IH223" s="43"/>
      <c r="II223" s="43"/>
      <c r="IJ223" s="43"/>
    </row>
    <row r="224" spans="1:244" s="43" customFormat="1" ht="25" x14ac:dyDescent="0.25">
      <c r="A224" s="54"/>
      <c r="B224" s="40" t="s">
        <v>303</v>
      </c>
      <c r="C224" s="41" t="s">
        <v>68</v>
      </c>
      <c r="D224" s="76">
        <f>CEILING(1.01*(2.1),1)</f>
        <v>3</v>
      </c>
      <c r="E224" s="45">
        <v>10.9</v>
      </c>
      <c r="F224" s="55">
        <f t="shared" si="49"/>
        <v>32.700000000000003</v>
      </c>
      <c r="G224" s="41" t="s">
        <v>69</v>
      </c>
      <c r="H224" s="41">
        <v>0</v>
      </c>
      <c r="I224" s="41">
        <v>0</v>
      </c>
      <c r="J224" s="41">
        <f t="shared" si="50"/>
        <v>0</v>
      </c>
      <c r="K224" s="41">
        <f t="shared" si="51"/>
        <v>0</v>
      </c>
      <c r="L224" s="41">
        <f t="shared" si="52"/>
        <v>0</v>
      </c>
    </row>
    <row r="225" spans="1:244" s="43" customFormat="1" ht="25" x14ac:dyDescent="0.25">
      <c r="A225" s="54"/>
      <c r="B225" s="40" t="s">
        <v>292</v>
      </c>
      <c r="C225" s="41" t="s">
        <v>68</v>
      </c>
      <c r="D225" s="76">
        <f>CEILING(1.01*(2*(0.3+0.85)+1.75+2.5+1+3),1)</f>
        <v>11</v>
      </c>
      <c r="E225" s="45">
        <v>15</v>
      </c>
      <c r="F225" s="55">
        <f t="shared" si="49"/>
        <v>165</v>
      </c>
      <c r="G225" s="41" t="s">
        <v>69</v>
      </c>
      <c r="H225" s="41">
        <v>0</v>
      </c>
      <c r="I225" s="41">
        <v>0</v>
      </c>
      <c r="J225" s="41">
        <f t="shared" si="50"/>
        <v>0</v>
      </c>
      <c r="K225" s="41">
        <f t="shared" si="51"/>
        <v>0</v>
      </c>
      <c r="L225" s="41">
        <f t="shared" si="52"/>
        <v>0</v>
      </c>
    </row>
    <row r="226" spans="1:244" ht="25" x14ac:dyDescent="0.25">
      <c r="A226" s="54"/>
      <c r="B226" s="44" t="s">
        <v>304</v>
      </c>
      <c r="C226" s="41" t="s">
        <v>68</v>
      </c>
      <c r="D226" s="76">
        <f>CEILING(1.01*(1.15+1.7),1)</f>
        <v>3</v>
      </c>
      <c r="E226" s="45">
        <v>33.1</v>
      </c>
      <c r="F226" s="55">
        <f t="shared" si="49"/>
        <v>99.300000000000011</v>
      </c>
      <c r="G226" s="41" t="s">
        <v>69</v>
      </c>
      <c r="H226" s="41">
        <v>0</v>
      </c>
      <c r="I226" s="41">
        <v>0</v>
      </c>
      <c r="J226" s="41">
        <f t="shared" si="50"/>
        <v>0</v>
      </c>
      <c r="K226" s="41">
        <f t="shared" si="51"/>
        <v>0</v>
      </c>
      <c r="L226" s="41">
        <f t="shared" si="52"/>
        <v>0</v>
      </c>
      <c r="M226" s="81"/>
      <c r="N226" s="81"/>
      <c r="O226" s="81"/>
      <c r="P226" s="81"/>
      <c r="Q226" s="81"/>
      <c r="R226" s="81"/>
      <c r="S226" s="81"/>
      <c r="T226" s="81"/>
      <c r="U226" s="81"/>
      <c r="V226" s="81"/>
      <c r="W226" s="81"/>
      <c r="X226" s="81"/>
      <c r="Y226" s="81"/>
      <c r="Z226" s="81"/>
      <c r="AA226" s="81"/>
      <c r="AB226" s="81"/>
      <c r="AC226" s="81"/>
      <c r="AD226" s="81"/>
      <c r="AE226" s="81"/>
      <c r="AF226" s="81"/>
      <c r="AG226" s="81"/>
      <c r="AH226" s="81"/>
      <c r="AI226" s="81"/>
      <c r="AJ226" s="81"/>
      <c r="AK226" s="81"/>
      <c r="AL226" s="81"/>
      <c r="AM226" s="81"/>
      <c r="AN226" s="81"/>
      <c r="AO226" s="81"/>
      <c r="AP226" s="81"/>
      <c r="AQ226" s="81"/>
      <c r="AR226" s="81"/>
      <c r="AS226" s="81"/>
      <c r="AT226" s="81"/>
      <c r="AU226" s="81"/>
      <c r="AV226" s="81"/>
      <c r="AW226" s="81"/>
      <c r="AX226" s="81"/>
      <c r="AY226" s="81"/>
      <c r="AZ226" s="81"/>
      <c r="BA226" s="81"/>
      <c r="BB226" s="81"/>
      <c r="BC226" s="81"/>
      <c r="BD226" s="81"/>
      <c r="BE226" s="81"/>
      <c r="BF226" s="81"/>
      <c r="BG226" s="81"/>
      <c r="BH226" s="81"/>
      <c r="BI226" s="81"/>
      <c r="BJ226" s="81"/>
      <c r="BK226" s="81"/>
      <c r="BL226" s="81"/>
      <c r="BM226" s="81"/>
      <c r="BN226" s="81"/>
      <c r="BO226" s="81"/>
      <c r="BP226" s="81"/>
      <c r="BQ226" s="81"/>
      <c r="BR226" s="81"/>
      <c r="BS226" s="81"/>
      <c r="BT226" s="81"/>
      <c r="BU226" s="81"/>
      <c r="BV226" s="81"/>
      <c r="BW226" s="81"/>
      <c r="BX226" s="81"/>
      <c r="BY226" s="81"/>
      <c r="BZ226" s="81"/>
      <c r="CA226" s="81"/>
      <c r="CB226" s="81"/>
      <c r="CC226" s="81"/>
      <c r="CD226" s="81"/>
      <c r="CE226" s="81"/>
      <c r="CF226" s="81"/>
      <c r="CG226" s="81"/>
      <c r="CH226" s="81"/>
      <c r="CI226" s="81"/>
      <c r="CJ226" s="81"/>
      <c r="CK226" s="81"/>
      <c r="CL226" s="81"/>
      <c r="CM226" s="81"/>
      <c r="CN226" s="81"/>
      <c r="CO226" s="81"/>
      <c r="CP226" s="81"/>
      <c r="CQ226" s="81"/>
      <c r="CR226" s="81"/>
      <c r="CS226" s="81"/>
      <c r="CT226" s="81"/>
      <c r="CU226" s="81"/>
      <c r="CV226" s="81"/>
      <c r="CW226" s="81"/>
      <c r="CX226" s="81"/>
      <c r="CY226" s="81"/>
      <c r="CZ226" s="81"/>
      <c r="DA226" s="81"/>
      <c r="DB226" s="81"/>
      <c r="DC226" s="81"/>
      <c r="DD226" s="81"/>
      <c r="DE226" s="81"/>
      <c r="DF226" s="81"/>
      <c r="DG226" s="81"/>
      <c r="DH226" s="81"/>
      <c r="DI226" s="81"/>
      <c r="DJ226" s="81"/>
      <c r="DK226" s="81"/>
      <c r="DL226" s="81"/>
      <c r="DM226" s="81"/>
      <c r="DN226" s="81"/>
      <c r="DO226" s="81"/>
      <c r="DP226" s="81"/>
      <c r="DQ226" s="81"/>
      <c r="DR226" s="81"/>
      <c r="DS226" s="81"/>
      <c r="DT226" s="81"/>
      <c r="DU226" s="81"/>
      <c r="DV226" s="81"/>
      <c r="DW226" s="81"/>
      <c r="DX226" s="81"/>
      <c r="DY226" s="81"/>
      <c r="DZ226" s="81"/>
      <c r="EA226" s="81"/>
      <c r="EB226" s="81"/>
      <c r="EC226" s="81"/>
      <c r="ED226" s="81"/>
      <c r="EE226" s="81"/>
      <c r="EF226" s="81"/>
      <c r="EG226" s="81"/>
      <c r="EH226" s="81"/>
      <c r="EI226" s="81"/>
      <c r="EJ226" s="81"/>
      <c r="EK226" s="81"/>
      <c r="EL226" s="81"/>
      <c r="EM226" s="81"/>
      <c r="EN226" s="81"/>
      <c r="EO226" s="81"/>
      <c r="EP226" s="81"/>
      <c r="EQ226" s="81"/>
      <c r="ER226" s="81"/>
      <c r="ES226" s="81"/>
      <c r="ET226" s="81"/>
      <c r="EU226" s="81"/>
      <c r="EV226" s="81"/>
      <c r="EW226" s="81"/>
      <c r="EX226" s="81"/>
      <c r="EY226" s="81"/>
      <c r="EZ226" s="81"/>
      <c r="FA226" s="81"/>
      <c r="FB226" s="81"/>
      <c r="FC226" s="81"/>
      <c r="FD226" s="81"/>
      <c r="FE226" s="81"/>
      <c r="FF226" s="81"/>
      <c r="FG226" s="81"/>
      <c r="FH226" s="81"/>
      <c r="FI226" s="81"/>
      <c r="FJ226" s="81"/>
      <c r="FK226" s="81"/>
      <c r="FL226" s="81"/>
      <c r="FM226" s="81"/>
      <c r="FN226" s="81"/>
      <c r="FO226" s="81"/>
      <c r="FP226" s="81"/>
      <c r="FQ226" s="81"/>
      <c r="FR226" s="81"/>
      <c r="FS226" s="81"/>
      <c r="FT226" s="81"/>
      <c r="FU226" s="81"/>
      <c r="FV226" s="81"/>
      <c r="FW226" s="81"/>
      <c r="FX226" s="81"/>
      <c r="FY226" s="81"/>
      <c r="FZ226" s="81"/>
      <c r="GA226" s="81"/>
      <c r="GB226" s="81"/>
      <c r="GC226" s="81"/>
      <c r="GD226" s="81"/>
      <c r="GE226" s="81"/>
      <c r="GF226" s="81"/>
      <c r="GG226" s="81"/>
      <c r="GH226" s="81"/>
      <c r="GI226" s="81"/>
      <c r="GJ226" s="81"/>
      <c r="GK226" s="81"/>
      <c r="GL226" s="81"/>
      <c r="GM226" s="81"/>
      <c r="GN226" s="81"/>
      <c r="GO226" s="81"/>
      <c r="GP226" s="81"/>
      <c r="GQ226" s="81"/>
      <c r="GR226" s="81"/>
      <c r="GS226" s="81"/>
      <c r="GT226" s="81"/>
      <c r="GU226" s="81"/>
      <c r="GV226" s="81"/>
      <c r="GW226" s="81"/>
      <c r="GX226" s="81"/>
      <c r="GY226" s="81"/>
      <c r="GZ226" s="81"/>
      <c r="HA226" s="81"/>
      <c r="HB226" s="81"/>
      <c r="HC226" s="81"/>
      <c r="HD226" s="81"/>
      <c r="HE226" s="81"/>
      <c r="HF226" s="81"/>
      <c r="HG226" s="81"/>
      <c r="HH226" s="81"/>
      <c r="HI226" s="81"/>
      <c r="HJ226" s="81"/>
      <c r="HK226" s="81"/>
      <c r="HL226" s="81"/>
      <c r="HM226" s="81"/>
      <c r="HN226" s="81"/>
      <c r="HO226" s="81"/>
      <c r="HP226" s="81"/>
      <c r="HQ226" s="81"/>
      <c r="HR226" s="81"/>
      <c r="HS226" s="81"/>
      <c r="HT226" s="81"/>
      <c r="HU226" s="81"/>
      <c r="HV226" s="81"/>
      <c r="HW226" s="81"/>
      <c r="HX226" s="81"/>
      <c r="HY226" s="81"/>
      <c r="HZ226" s="81"/>
      <c r="IA226" s="81"/>
      <c r="IB226" s="81"/>
      <c r="IC226" s="81"/>
      <c r="ID226" s="81"/>
      <c r="IE226" s="81"/>
      <c r="IF226" s="81"/>
      <c r="IG226" s="81"/>
      <c r="IH226" s="81"/>
      <c r="II226" s="81"/>
      <c r="IJ226" s="81"/>
    </row>
    <row r="227" spans="1:244" ht="25" x14ac:dyDescent="0.25">
      <c r="A227" s="84"/>
      <c r="B227" s="85" t="s">
        <v>106</v>
      </c>
      <c r="C227" s="41" t="s">
        <v>53</v>
      </c>
      <c r="D227" s="41">
        <f>6+1+5</f>
        <v>12</v>
      </c>
      <c r="E227" s="45">
        <f>ROUND(PI()/2*29/1000*1.2,2)</f>
        <v>0.05</v>
      </c>
      <c r="F227" s="55">
        <f t="shared" ref="F227:F242" si="53">D227*E227</f>
        <v>0.60000000000000009</v>
      </c>
      <c r="G227" s="41" t="s">
        <v>53</v>
      </c>
      <c r="H227" s="75">
        <v>0</v>
      </c>
      <c r="I227" s="75">
        <v>0</v>
      </c>
      <c r="J227" s="41">
        <f t="shared" ref="J227:J242" si="54">$D227*H227</f>
        <v>0</v>
      </c>
      <c r="K227" s="41">
        <f t="shared" ref="K227:K242" si="55">$D227*I227</f>
        <v>0</v>
      </c>
      <c r="L227" s="41">
        <f t="shared" ref="L227:L242" si="56">J227+K227</f>
        <v>0</v>
      </c>
      <c r="M227" s="84"/>
      <c r="N227" s="84"/>
      <c r="O227" s="84"/>
      <c r="P227" s="84"/>
      <c r="Q227" s="84"/>
      <c r="R227" s="84"/>
      <c r="S227" s="84"/>
      <c r="T227" s="84"/>
      <c r="U227" s="84"/>
      <c r="V227" s="84"/>
      <c r="W227" s="84"/>
      <c r="X227" s="84"/>
      <c r="Y227" s="84"/>
      <c r="Z227" s="84"/>
      <c r="AA227" s="84"/>
      <c r="AB227" s="84"/>
      <c r="AC227" s="84"/>
      <c r="AD227" s="84"/>
      <c r="AE227" s="84"/>
      <c r="AF227" s="84"/>
      <c r="AG227" s="84"/>
      <c r="AH227" s="84"/>
      <c r="AI227" s="84"/>
      <c r="AJ227" s="84"/>
      <c r="AK227" s="84"/>
      <c r="AL227" s="84"/>
      <c r="AM227" s="84"/>
      <c r="AN227" s="84"/>
      <c r="AO227" s="84"/>
      <c r="AP227" s="84"/>
      <c r="AQ227" s="84"/>
      <c r="AR227" s="84"/>
      <c r="AS227" s="84"/>
      <c r="AT227" s="84"/>
      <c r="AU227" s="84"/>
      <c r="AV227" s="84"/>
      <c r="AW227" s="84"/>
      <c r="AX227" s="84"/>
      <c r="AY227" s="84"/>
      <c r="AZ227" s="84"/>
      <c r="BA227" s="84"/>
      <c r="BB227" s="84"/>
      <c r="BC227" s="84"/>
      <c r="BD227" s="84"/>
      <c r="BE227" s="84"/>
      <c r="BF227" s="84"/>
      <c r="BG227" s="84"/>
      <c r="BH227" s="84"/>
      <c r="BI227" s="84"/>
      <c r="BJ227" s="84"/>
      <c r="BK227" s="84"/>
      <c r="BL227" s="84"/>
      <c r="BM227" s="84"/>
      <c r="BN227" s="84"/>
      <c r="BO227" s="84"/>
      <c r="BP227" s="84"/>
      <c r="BQ227" s="84"/>
      <c r="BR227" s="84"/>
      <c r="BS227" s="84"/>
      <c r="BT227" s="84"/>
      <c r="BU227" s="84"/>
      <c r="BV227" s="84"/>
      <c r="BW227" s="84"/>
      <c r="BX227" s="84"/>
      <c r="BY227" s="84"/>
      <c r="BZ227" s="84"/>
      <c r="CA227" s="84"/>
      <c r="CB227" s="84"/>
      <c r="CC227" s="84"/>
      <c r="CD227" s="84"/>
      <c r="CE227" s="84"/>
      <c r="CF227" s="84"/>
      <c r="CG227" s="84"/>
      <c r="CH227" s="84"/>
      <c r="CI227" s="84"/>
      <c r="CJ227" s="84"/>
      <c r="CK227" s="84"/>
      <c r="CL227" s="84"/>
      <c r="CM227" s="84"/>
      <c r="CN227" s="84"/>
      <c r="CO227" s="84"/>
      <c r="CP227" s="84"/>
      <c r="CQ227" s="84"/>
      <c r="CR227" s="84"/>
      <c r="CS227" s="84"/>
      <c r="CT227" s="84"/>
      <c r="CU227" s="84"/>
      <c r="CV227" s="84"/>
      <c r="CW227" s="84"/>
      <c r="CX227" s="84"/>
      <c r="CY227" s="84"/>
      <c r="CZ227" s="84"/>
      <c r="DA227" s="84"/>
      <c r="DB227" s="84"/>
      <c r="DC227" s="84"/>
      <c r="DD227" s="84"/>
      <c r="DE227" s="84"/>
      <c r="DF227" s="84"/>
      <c r="DG227" s="84"/>
      <c r="DH227" s="84"/>
      <c r="DI227" s="84"/>
      <c r="DJ227" s="84"/>
      <c r="DK227" s="84"/>
      <c r="DL227" s="84"/>
      <c r="DM227" s="84"/>
      <c r="DN227" s="84"/>
      <c r="DO227" s="84"/>
      <c r="DP227" s="84"/>
      <c r="DQ227" s="84"/>
      <c r="DR227" s="84"/>
      <c r="DS227" s="84"/>
      <c r="DT227" s="84"/>
      <c r="DU227" s="84"/>
      <c r="DV227" s="84"/>
      <c r="DW227" s="84"/>
      <c r="DX227" s="84"/>
      <c r="DY227" s="84"/>
      <c r="DZ227" s="84"/>
      <c r="EA227" s="84"/>
      <c r="EB227" s="84"/>
      <c r="EC227" s="84"/>
      <c r="ED227" s="84"/>
      <c r="EE227" s="84"/>
      <c r="EF227" s="84"/>
      <c r="EG227" s="84"/>
      <c r="EH227" s="84"/>
      <c r="EI227" s="84"/>
      <c r="EJ227" s="84"/>
      <c r="EK227" s="84"/>
      <c r="EL227" s="84"/>
      <c r="EM227" s="84"/>
      <c r="EN227" s="84"/>
      <c r="EO227" s="84"/>
      <c r="EP227" s="84"/>
      <c r="EQ227" s="84"/>
      <c r="ER227" s="84"/>
      <c r="ES227" s="84"/>
      <c r="ET227" s="84"/>
      <c r="EU227" s="84"/>
      <c r="EV227" s="84"/>
      <c r="EW227" s="84"/>
      <c r="EX227" s="84"/>
      <c r="EY227" s="84"/>
      <c r="EZ227" s="84"/>
      <c r="FA227" s="84"/>
      <c r="FB227" s="84"/>
      <c r="FC227" s="84"/>
      <c r="FD227" s="84"/>
      <c r="FE227" s="84"/>
      <c r="FF227" s="84"/>
      <c r="FG227" s="84"/>
      <c r="FH227" s="84"/>
      <c r="FI227" s="84"/>
      <c r="FJ227" s="84"/>
      <c r="FK227" s="84"/>
      <c r="FL227" s="84"/>
      <c r="FM227" s="84"/>
      <c r="FN227" s="84"/>
      <c r="FO227" s="84"/>
      <c r="FP227" s="84"/>
      <c r="FQ227" s="84"/>
      <c r="FR227" s="84"/>
      <c r="FS227" s="84"/>
      <c r="FT227" s="84"/>
      <c r="FU227" s="84"/>
      <c r="FV227" s="84"/>
      <c r="FW227" s="84"/>
      <c r="FX227" s="84"/>
      <c r="FY227" s="84"/>
      <c r="FZ227" s="84"/>
      <c r="GA227" s="84"/>
      <c r="GB227" s="84"/>
      <c r="GC227" s="84"/>
      <c r="GD227" s="84"/>
      <c r="GE227" s="84"/>
      <c r="GF227" s="84"/>
      <c r="GG227" s="84"/>
      <c r="GH227" s="84"/>
      <c r="GI227" s="84"/>
      <c r="GJ227" s="84"/>
      <c r="GK227" s="84"/>
      <c r="GL227" s="84"/>
      <c r="GM227" s="84"/>
      <c r="GN227" s="84"/>
      <c r="GO227" s="84"/>
      <c r="GP227" s="84"/>
      <c r="GQ227" s="84"/>
      <c r="GR227" s="84"/>
      <c r="GS227" s="84"/>
      <c r="GT227" s="84"/>
      <c r="GU227" s="84"/>
      <c r="GV227" s="84"/>
      <c r="GW227" s="84"/>
      <c r="GX227" s="84"/>
      <c r="GY227" s="84"/>
      <c r="GZ227" s="84"/>
      <c r="HA227" s="84"/>
      <c r="HB227" s="84"/>
      <c r="HC227" s="84"/>
      <c r="HD227" s="84"/>
      <c r="HE227" s="84"/>
      <c r="HF227" s="84"/>
      <c r="HG227" s="84"/>
      <c r="HH227" s="84"/>
      <c r="HI227" s="84"/>
      <c r="HJ227" s="84"/>
      <c r="HK227" s="84"/>
      <c r="HL227" s="84"/>
      <c r="HM227" s="84"/>
      <c r="HN227" s="84"/>
      <c r="HO227" s="84"/>
      <c r="HP227" s="84"/>
      <c r="HQ227" s="84"/>
      <c r="HR227" s="84"/>
      <c r="HS227" s="84"/>
      <c r="HT227" s="84"/>
      <c r="HU227" s="84"/>
      <c r="HV227" s="84"/>
      <c r="HW227" s="84"/>
      <c r="HX227" s="84"/>
      <c r="HY227" s="84"/>
      <c r="HZ227" s="84"/>
      <c r="IA227" s="84"/>
      <c r="IB227" s="84"/>
      <c r="IC227" s="84"/>
      <c r="ID227" s="84"/>
      <c r="IE227" s="84"/>
      <c r="IF227" s="84"/>
      <c r="IG227" s="84"/>
      <c r="IH227" s="84"/>
      <c r="II227" s="84"/>
      <c r="IJ227" s="84"/>
    </row>
    <row r="228" spans="1:244" s="84" customFormat="1" ht="25" x14ac:dyDescent="0.25">
      <c r="B228" s="85" t="s">
        <v>107</v>
      </c>
      <c r="C228" s="41" t="s">
        <v>53</v>
      </c>
      <c r="D228" s="41">
        <f>3+2+1+8</f>
        <v>14</v>
      </c>
      <c r="E228" s="45">
        <f>ROUND(PI()/2*38/1000*1.99,2)</f>
        <v>0.12</v>
      </c>
      <c r="F228" s="55">
        <f t="shared" si="53"/>
        <v>1.68</v>
      </c>
      <c r="G228" s="41" t="s">
        <v>53</v>
      </c>
      <c r="H228" s="75">
        <v>0</v>
      </c>
      <c r="I228" s="75">
        <v>0</v>
      </c>
      <c r="J228" s="41">
        <f t="shared" si="54"/>
        <v>0</v>
      </c>
      <c r="K228" s="41">
        <f t="shared" si="55"/>
        <v>0</v>
      </c>
      <c r="L228" s="41">
        <f t="shared" si="56"/>
        <v>0</v>
      </c>
    </row>
    <row r="229" spans="1:244" s="81" customFormat="1" ht="25" x14ac:dyDescent="0.25">
      <c r="A229" s="84"/>
      <c r="B229" s="85" t="s">
        <v>108</v>
      </c>
      <c r="C229" s="41" t="s">
        <v>53</v>
      </c>
      <c r="D229" s="41">
        <f>2+3+2+1+1+2</f>
        <v>11</v>
      </c>
      <c r="E229" s="45">
        <f>ROUND(PI()/2*48/1000*2.55,2)</f>
        <v>0.19</v>
      </c>
      <c r="F229" s="55">
        <f t="shared" si="53"/>
        <v>2.09</v>
      </c>
      <c r="G229" s="41" t="s">
        <v>53</v>
      </c>
      <c r="H229" s="75">
        <v>0</v>
      </c>
      <c r="I229" s="75">
        <v>0</v>
      </c>
      <c r="J229" s="41">
        <f t="shared" si="54"/>
        <v>0</v>
      </c>
      <c r="K229" s="41">
        <f t="shared" si="55"/>
        <v>0</v>
      </c>
      <c r="L229" s="41">
        <f t="shared" si="56"/>
        <v>0</v>
      </c>
      <c r="M229" s="84"/>
      <c r="N229" s="84"/>
      <c r="O229" s="84"/>
      <c r="P229" s="84"/>
      <c r="Q229" s="84"/>
      <c r="R229" s="84"/>
      <c r="S229" s="84"/>
      <c r="T229" s="84"/>
      <c r="U229" s="84"/>
      <c r="V229" s="84"/>
      <c r="W229" s="84"/>
      <c r="X229" s="84"/>
      <c r="Y229" s="84"/>
      <c r="Z229" s="84"/>
      <c r="AA229" s="84"/>
      <c r="AB229" s="84"/>
      <c r="AC229" s="84"/>
      <c r="AD229" s="84"/>
      <c r="AE229" s="84"/>
      <c r="AF229" s="84"/>
      <c r="AG229" s="84"/>
      <c r="AH229" s="84"/>
      <c r="AI229" s="84"/>
      <c r="AJ229" s="84"/>
      <c r="AK229" s="84"/>
      <c r="AL229" s="84"/>
      <c r="AM229" s="84"/>
      <c r="AN229" s="84"/>
      <c r="AO229" s="84"/>
      <c r="AP229" s="84"/>
      <c r="AQ229" s="84"/>
      <c r="AR229" s="84"/>
      <c r="AS229" s="84"/>
      <c r="AT229" s="84"/>
      <c r="AU229" s="84"/>
      <c r="AV229" s="84"/>
      <c r="AW229" s="84"/>
      <c r="AX229" s="84"/>
      <c r="AY229" s="84"/>
      <c r="AZ229" s="84"/>
      <c r="BA229" s="84"/>
      <c r="BB229" s="84"/>
      <c r="BC229" s="84"/>
      <c r="BD229" s="84"/>
      <c r="BE229" s="84"/>
      <c r="BF229" s="84"/>
      <c r="BG229" s="84"/>
      <c r="BH229" s="84"/>
      <c r="BI229" s="84"/>
      <c r="BJ229" s="84"/>
      <c r="BK229" s="84"/>
      <c r="BL229" s="84"/>
      <c r="BM229" s="84"/>
      <c r="BN229" s="84"/>
      <c r="BO229" s="84"/>
      <c r="BP229" s="84"/>
      <c r="BQ229" s="84"/>
      <c r="BR229" s="84"/>
      <c r="BS229" s="84"/>
      <c r="BT229" s="84"/>
      <c r="BU229" s="84"/>
      <c r="BV229" s="84"/>
      <c r="BW229" s="84"/>
      <c r="BX229" s="84"/>
      <c r="BY229" s="84"/>
      <c r="BZ229" s="84"/>
      <c r="CA229" s="84"/>
      <c r="CB229" s="84"/>
      <c r="CC229" s="84"/>
      <c r="CD229" s="84"/>
      <c r="CE229" s="84"/>
      <c r="CF229" s="84"/>
      <c r="CG229" s="84"/>
      <c r="CH229" s="84"/>
      <c r="CI229" s="84"/>
      <c r="CJ229" s="84"/>
      <c r="CK229" s="84"/>
      <c r="CL229" s="84"/>
      <c r="CM229" s="84"/>
      <c r="CN229" s="84"/>
      <c r="CO229" s="84"/>
      <c r="CP229" s="84"/>
      <c r="CQ229" s="84"/>
      <c r="CR229" s="84"/>
      <c r="CS229" s="84"/>
      <c r="CT229" s="84"/>
      <c r="CU229" s="84"/>
      <c r="CV229" s="84"/>
      <c r="CW229" s="84"/>
      <c r="CX229" s="84"/>
      <c r="CY229" s="84"/>
      <c r="CZ229" s="84"/>
      <c r="DA229" s="84"/>
      <c r="DB229" s="84"/>
      <c r="DC229" s="84"/>
      <c r="DD229" s="84"/>
      <c r="DE229" s="84"/>
      <c r="DF229" s="84"/>
      <c r="DG229" s="84"/>
      <c r="DH229" s="84"/>
      <c r="DI229" s="84"/>
      <c r="DJ229" s="84"/>
      <c r="DK229" s="84"/>
      <c r="DL229" s="84"/>
      <c r="DM229" s="84"/>
      <c r="DN229" s="84"/>
      <c r="DO229" s="84"/>
      <c r="DP229" s="84"/>
      <c r="DQ229" s="84"/>
      <c r="DR229" s="84"/>
      <c r="DS229" s="84"/>
      <c r="DT229" s="84"/>
      <c r="DU229" s="84"/>
      <c r="DV229" s="84"/>
      <c r="DW229" s="84"/>
      <c r="DX229" s="84"/>
      <c r="DY229" s="84"/>
      <c r="DZ229" s="84"/>
      <c r="EA229" s="84"/>
      <c r="EB229" s="84"/>
      <c r="EC229" s="84"/>
      <c r="ED229" s="84"/>
      <c r="EE229" s="84"/>
      <c r="EF229" s="84"/>
      <c r="EG229" s="84"/>
      <c r="EH229" s="84"/>
      <c r="EI229" s="84"/>
      <c r="EJ229" s="84"/>
      <c r="EK229" s="84"/>
      <c r="EL229" s="84"/>
      <c r="EM229" s="84"/>
      <c r="EN229" s="84"/>
      <c r="EO229" s="84"/>
      <c r="EP229" s="84"/>
      <c r="EQ229" s="84"/>
      <c r="ER229" s="84"/>
      <c r="ES229" s="84"/>
      <c r="ET229" s="84"/>
      <c r="EU229" s="84"/>
      <c r="EV229" s="84"/>
      <c r="EW229" s="84"/>
      <c r="EX229" s="84"/>
      <c r="EY229" s="84"/>
      <c r="EZ229" s="84"/>
      <c r="FA229" s="84"/>
      <c r="FB229" s="84"/>
      <c r="FC229" s="84"/>
      <c r="FD229" s="84"/>
      <c r="FE229" s="84"/>
      <c r="FF229" s="84"/>
      <c r="FG229" s="84"/>
      <c r="FH229" s="84"/>
      <c r="FI229" s="84"/>
      <c r="FJ229" s="84"/>
      <c r="FK229" s="84"/>
      <c r="FL229" s="84"/>
      <c r="FM229" s="84"/>
      <c r="FN229" s="84"/>
      <c r="FO229" s="84"/>
      <c r="FP229" s="84"/>
      <c r="FQ229" s="84"/>
      <c r="FR229" s="84"/>
      <c r="FS229" s="84"/>
      <c r="FT229" s="84"/>
      <c r="FU229" s="84"/>
      <c r="FV229" s="84"/>
      <c r="FW229" s="84"/>
      <c r="FX229" s="84"/>
      <c r="FY229" s="84"/>
      <c r="FZ229" s="84"/>
      <c r="GA229" s="84"/>
      <c r="GB229" s="84"/>
      <c r="GC229" s="84"/>
      <c r="GD229" s="84"/>
      <c r="GE229" s="84"/>
      <c r="GF229" s="84"/>
      <c r="GG229" s="84"/>
      <c r="GH229" s="84"/>
      <c r="GI229" s="84"/>
      <c r="GJ229" s="84"/>
      <c r="GK229" s="84"/>
      <c r="GL229" s="84"/>
      <c r="GM229" s="84"/>
      <c r="GN229" s="84"/>
      <c r="GO229" s="84"/>
      <c r="GP229" s="84"/>
      <c r="GQ229" s="84"/>
      <c r="GR229" s="84"/>
      <c r="GS229" s="84"/>
      <c r="GT229" s="84"/>
      <c r="GU229" s="84"/>
      <c r="GV229" s="84"/>
      <c r="GW229" s="84"/>
      <c r="GX229" s="84"/>
      <c r="GY229" s="84"/>
      <c r="GZ229" s="84"/>
      <c r="HA229" s="84"/>
      <c r="HB229" s="84"/>
      <c r="HC229" s="84"/>
      <c r="HD229" s="84"/>
      <c r="HE229" s="84"/>
      <c r="HF229" s="84"/>
      <c r="HG229" s="84"/>
      <c r="HH229" s="84"/>
      <c r="HI229" s="84"/>
      <c r="HJ229" s="84"/>
      <c r="HK229" s="84"/>
      <c r="HL229" s="84"/>
      <c r="HM229" s="84"/>
      <c r="HN229" s="84"/>
      <c r="HO229" s="84"/>
      <c r="HP229" s="84"/>
      <c r="HQ229" s="84"/>
      <c r="HR229" s="84"/>
      <c r="HS229" s="84"/>
      <c r="HT229" s="84"/>
      <c r="HU229" s="84"/>
      <c r="HV229" s="84"/>
      <c r="HW229" s="84"/>
      <c r="HX229" s="84"/>
      <c r="HY229" s="84"/>
      <c r="HZ229" s="84"/>
      <c r="IA229" s="84"/>
      <c r="IB229" s="84"/>
      <c r="IC229" s="84"/>
      <c r="ID229" s="84"/>
      <c r="IE229" s="84"/>
      <c r="IF229" s="84"/>
      <c r="IG229" s="84"/>
      <c r="IH229" s="84"/>
      <c r="II229" s="84"/>
      <c r="IJ229" s="84"/>
    </row>
    <row r="230" spans="1:244" s="81" customFormat="1" ht="25" x14ac:dyDescent="0.25">
      <c r="A230" s="84"/>
      <c r="B230" s="85" t="s">
        <v>109</v>
      </c>
      <c r="C230" s="41" t="s">
        <v>53</v>
      </c>
      <c r="D230" s="41">
        <f>4+2+2+2+8+8</f>
        <v>26</v>
      </c>
      <c r="E230" s="45">
        <f>ROUND(PI()/2*76/1000*4.11,2)</f>
        <v>0.49</v>
      </c>
      <c r="F230" s="55">
        <f t="shared" si="53"/>
        <v>12.74</v>
      </c>
      <c r="G230" s="41" t="s">
        <v>53</v>
      </c>
      <c r="H230" s="75">
        <v>0</v>
      </c>
      <c r="I230" s="75">
        <v>0</v>
      </c>
      <c r="J230" s="41">
        <f t="shared" si="54"/>
        <v>0</v>
      </c>
      <c r="K230" s="41">
        <f t="shared" si="55"/>
        <v>0</v>
      </c>
      <c r="L230" s="41">
        <f t="shared" si="56"/>
        <v>0</v>
      </c>
      <c r="M230" s="84"/>
      <c r="N230" s="84"/>
      <c r="O230" s="84"/>
      <c r="P230" s="84"/>
      <c r="Q230" s="84"/>
      <c r="R230" s="84"/>
      <c r="S230" s="84"/>
      <c r="T230" s="84"/>
      <c r="U230" s="84"/>
      <c r="V230" s="84"/>
      <c r="W230" s="84"/>
      <c r="X230" s="84"/>
      <c r="Y230" s="84"/>
      <c r="Z230" s="84"/>
      <c r="AA230" s="84"/>
      <c r="AB230" s="84"/>
      <c r="AC230" s="84"/>
      <c r="AD230" s="84"/>
      <c r="AE230" s="84"/>
      <c r="AF230" s="84"/>
      <c r="AG230" s="84"/>
      <c r="AH230" s="84"/>
      <c r="AI230" s="84"/>
      <c r="AJ230" s="84"/>
      <c r="AK230" s="84"/>
      <c r="AL230" s="84"/>
      <c r="AM230" s="84"/>
      <c r="AN230" s="84"/>
      <c r="AO230" s="84"/>
      <c r="AP230" s="84"/>
      <c r="AQ230" s="84"/>
      <c r="AR230" s="84"/>
      <c r="AS230" s="84"/>
      <c r="AT230" s="84"/>
      <c r="AU230" s="84"/>
      <c r="AV230" s="84"/>
      <c r="AW230" s="84"/>
      <c r="AX230" s="84"/>
      <c r="AY230" s="84"/>
      <c r="AZ230" s="84"/>
      <c r="BA230" s="84"/>
      <c r="BB230" s="84"/>
      <c r="BC230" s="84"/>
      <c r="BD230" s="84"/>
      <c r="BE230" s="84"/>
      <c r="BF230" s="84"/>
      <c r="BG230" s="84"/>
      <c r="BH230" s="84"/>
      <c r="BI230" s="84"/>
      <c r="BJ230" s="84"/>
      <c r="BK230" s="84"/>
      <c r="BL230" s="84"/>
      <c r="BM230" s="84"/>
      <c r="BN230" s="84"/>
      <c r="BO230" s="84"/>
      <c r="BP230" s="84"/>
      <c r="BQ230" s="84"/>
      <c r="BR230" s="84"/>
      <c r="BS230" s="84"/>
      <c r="BT230" s="84"/>
      <c r="BU230" s="84"/>
      <c r="BV230" s="84"/>
      <c r="BW230" s="84"/>
      <c r="BX230" s="84"/>
      <c r="BY230" s="84"/>
      <c r="BZ230" s="84"/>
      <c r="CA230" s="84"/>
      <c r="CB230" s="84"/>
      <c r="CC230" s="84"/>
      <c r="CD230" s="84"/>
      <c r="CE230" s="84"/>
      <c r="CF230" s="84"/>
      <c r="CG230" s="84"/>
      <c r="CH230" s="84"/>
      <c r="CI230" s="84"/>
      <c r="CJ230" s="84"/>
      <c r="CK230" s="84"/>
      <c r="CL230" s="84"/>
      <c r="CM230" s="84"/>
      <c r="CN230" s="84"/>
      <c r="CO230" s="84"/>
      <c r="CP230" s="84"/>
      <c r="CQ230" s="84"/>
      <c r="CR230" s="84"/>
      <c r="CS230" s="84"/>
      <c r="CT230" s="84"/>
      <c r="CU230" s="84"/>
      <c r="CV230" s="84"/>
      <c r="CW230" s="84"/>
      <c r="CX230" s="84"/>
      <c r="CY230" s="84"/>
      <c r="CZ230" s="84"/>
      <c r="DA230" s="84"/>
      <c r="DB230" s="84"/>
      <c r="DC230" s="84"/>
      <c r="DD230" s="84"/>
      <c r="DE230" s="84"/>
      <c r="DF230" s="84"/>
      <c r="DG230" s="84"/>
      <c r="DH230" s="84"/>
      <c r="DI230" s="84"/>
      <c r="DJ230" s="84"/>
      <c r="DK230" s="84"/>
      <c r="DL230" s="84"/>
      <c r="DM230" s="84"/>
      <c r="DN230" s="84"/>
      <c r="DO230" s="84"/>
      <c r="DP230" s="84"/>
      <c r="DQ230" s="84"/>
      <c r="DR230" s="84"/>
      <c r="DS230" s="84"/>
      <c r="DT230" s="84"/>
      <c r="DU230" s="84"/>
      <c r="DV230" s="84"/>
      <c r="DW230" s="84"/>
      <c r="DX230" s="84"/>
      <c r="DY230" s="84"/>
      <c r="DZ230" s="84"/>
      <c r="EA230" s="84"/>
      <c r="EB230" s="84"/>
      <c r="EC230" s="84"/>
      <c r="ED230" s="84"/>
      <c r="EE230" s="84"/>
      <c r="EF230" s="84"/>
      <c r="EG230" s="84"/>
      <c r="EH230" s="84"/>
      <c r="EI230" s="84"/>
      <c r="EJ230" s="84"/>
      <c r="EK230" s="84"/>
      <c r="EL230" s="84"/>
      <c r="EM230" s="84"/>
      <c r="EN230" s="84"/>
      <c r="EO230" s="84"/>
      <c r="EP230" s="84"/>
      <c r="EQ230" s="84"/>
      <c r="ER230" s="84"/>
      <c r="ES230" s="84"/>
      <c r="ET230" s="84"/>
      <c r="EU230" s="84"/>
      <c r="EV230" s="84"/>
      <c r="EW230" s="84"/>
      <c r="EX230" s="84"/>
      <c r="EY230" s="84"/>
      <c r="EZ230" s="84"/>
      <c r="FA230" s="84"/>
      <c r="FB230" s="84"/>
      <c r="FC230" s="84"/>
      <c r="FD230" s="84"/>
      <c r="FE230" s="84"/>
      <c r="FF230" s="84"/>
      <c r="FG230" s="84"/>
      <c r="FH230" s="84"/>
      <c r="FI230" s="84"/>
      <c r="FJ230" s="84"/>
      <c r="FK230" s="84"/>
      <c r="FL230" s="84"/>
      <c r="FM230" s="84"/>
      <c r="FN230" s="84"/>
      <c r="FO230" s="84"/>
      <c r="FP230" s="84"/>
      <c r="FQ230" s="84"/>
      <c r="FR230" s="84"/>
      <c r="FS230" s="84"/>
      <c r="FT230" s="84"/>
      <c r="FU230" s="84"/>
      <c r="FV230" s="84"/>
      <c r="FW230" s="84"/>
      <c r="FX230" s="84"/>
      <c r="FY230" s="84"/>
      <c r="FZ230" s="84"/>
      <c r="GA230" s="84"/>
      <c r="GB230" s="84"/>
      <c r="GC230" s="84"/>
      <c r="GD230" s="84"/>
      <c r="GE230" s="84"/>
      <c r="GF230" s="84"/>
      <c r="GG230" s="84"/>
      <c r="GH230" s="84"/>
      <c r="GI230" s="84"/>
      <c r="GJ230" s="84"/>
      <c r="GK230" s="84"/>
      <c r="GL230" s="84"/>
      <c r="GM230" s="84"/>
      <c r="GN230" s="84"/>
      <c r="GO230" s="84"/>
      <c r="GP230" s="84"/>
      <c r="GQ230" s="84"/>
      <c r="GR230" s="84"/>
      <c r="GS230" s="84"/>
      <c r="GT230" s="84"/>
      <c r="GU230" s="84"/>
      <c r="GV230" s="84"/>
      <c r="GW230" s="84"/>
      <c r="GX230" s="84"/>
      <c r="GY230" s="84"/>
      <c r="GZ230" s="84"/>
      <c r="HA230" s="84"/>
      <c r="HB230" s="84"/>
      <c r="HC230" s="84"/>
      <c r="HD230" s="84"/>
      <c r="HE230" s="84"/>
      <c r="HF230" s="84"/>
      <c r="HG230" s="84"/>
      <c r="HH230" s="84"/>
      <c r="HI230" s="84"/>
      <c r="HJ230" s="84"/>
      <c r="HK230" s="84"/>
      <c r="HL230" s="84"/>
      <c r="HM230" s="84"/>
      <c r="HN230" s="84"/>
      <c r="HO230" s="84"/>
      <c r="HP230" s="84"/>
      <c r="HQ230" s="84"/>
      <c r="HR230" s="84"/>
      <c r="HS230" s="84"/>
      <c r="HT230" s="84"/>
      <c r="HU230" s="84"/>
      <c r="HV230" s="84"/>
      <c r="HW230" s="84"/>
      <c r="HX230" s="84"/>
      <c r="HY230" s="84"/>
      <c r="HZ230" s="84"/>
      <c r="IA230" s="84"/>
      <c r="IB230" s="84"/>
      <c r="IC230" s="84"/>
      <c r="ID230" s="84"/>
      <c r="IE230" s="84"/>
      <c r="IF230" s="84"/>
      <c r="IG230" s="84"/>
      <c r="IH230" s="84"/>
      <c r="II230" s="84"/>
      <c r="IJ230" s="84"/>
    </row>
    <row r="231" spans="1:244" ht="25" x14ac:dyDescent="0.25">
      <c r="A231" s="84"/>
      <c r="B231" s="85" t="s">
        <v>110</v>
      </c>
      <c r="C231" s="41" t="s">
        <v>53</v>
      </c>
      <c r="D231" s="41">
        <f>4+3</f>
        <v>7</v>
      </c>
      <c r="E231" s="45">
        <f>ROUND(PI()/2*95/1000*5.75,2)</f>
        <v>0.86</v>
      </c>
      <c r="F231" s="41">
        <f t="shared" si="53"/>
        <v>6.02</v>
      </c>
      <c r="G231" s="41" t="s">
        <v>53</v>
      </c>
      <c r="H231" s="75">
        <v>0</v>
      </c>
      <c r="I231" s="75">
        <v>0</v>
      </c>
      <c r="J231" s="41">
        <f t="shared" si="54"/>
        <v>0</v>
      </c>
      <c r="K231" s="41">
        <f t="shared" si="55"/>
        <v>0</v>
      </c>
      <c r="L231" s="41">
        <f t="shared" si="56"/>
        <v>0</v>
      </c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  <c r="Z231" s="84"/>
      <c r="AA231" s="84"/>
      <c r="AB231" s="84"/>
      <c r="AC231" s="84"/>
      <c r="AD231" s="84"/>
      <c r="AE231" s="84"/>
      <c r="AF231" s="84"/>
      <c r="AG231" s="84"/>
      <c r="AH231" s="84"/>
      <c r="AI231" s="84"/>
      <c r="AJ231" s="84"/>
      <c r="AK231" s="84"/>
      <c r="AL231" s="84"/>
      <c r="AM231" s="84"/>
      <c r="AN231" s="84"/>
      <c r="AO231" s="84"/>
      <c r="AP231" s="84"/>
      <c r="AQ231" s="84"/>
      <c r="AR231" s="84"/>
      <c r="AS231" s="84"/>
      <c r="AT231" s="84"/>
      <c r="AU231" s="84"/>
      <c r="AV231" s="84"/>
      <c r="AW231" s="84"/>
      <c r="AX231" s="84"/>
      <c r="AY231" s="84"/>
      <c r="AZ231" s="84"/>
      <c r="BA231" s="84"/>
      <c r="BB231" s="84"/>
      <c r="BC231" s="84"/>
      <c r="BD231" s="84"/>
      <c r="BE231" s="84"/>
      <c r="BF231" s="84"/>
      <c r="BG231" s="84"/>
      <c r="BH231" s="84"/>
      <c r="BI231" s="84"/>
      <c r="BJ231" s="84"/>
      <c r="BK231" s="84"/>
      <c r="BL231" s="84"/>
      <c r="BM231" s="84"/>
      <c r="BN231" s="84"/>
      <c r="BO231" s="84"/>
      <c r="BP231" s="84"/>
      <c r="BQ231" s="84"/>
      <c r="BR231" s="84"/>
      <c r="BS231" s="84"/>
      <c r="BT231" s="84"/>
      <c r="BU231" s="84"/>
      <c r="BV231" s="84"/>
      <c r="BW231" s="84"/>
      <c r="BX231" s="84"/>
      <c r="BY231" s="84"/>
      <c r="BZ231" s="84"/>
      <c r="CA231" s="84"/>
      <c r="CB231" s="84"/>
      <c r="CC231" s="84"/>
      <c r="CD231" s="84"/>
      <c r="CE231" s="84"/>
      <c r="CF231" s="84"/>
      <c r="CG231" s="84"/>
      <c r="CH231" s="84"/>
      <c r="CI231" s="84"/>
      <c r="CJ231" s="84"/>
      <c r="CK231" s="84"/>
      <c r="CL231" s="84"/>
      <c r="CM231" s="84"/>
      <c r="CN231" s="84"/>
      <c r="CO231" s="84"/>
      <c r="CP231" s="84"/>
      <c r="CQ231" s="84"/>
      <c r="CR231" s="84"/>
      <c r="CS231" s="84"/>
      <c r="CT231" s="84"/>
      <c r="CU231" s="84"/>
      <c r="CV231" s="84"/>
      <c r="CW231" s="84"/>
      <c r="CX231" s="84"/>
      <c r="CY231" s="84"/>
      <c r="CZ231" s="84"/>
      <c r="DA231" s="84"/>
      <c r="DB231" s="84"/>
      <c r="DC231" s="84"/>
      <c r="DD231" s="84"/>
      <c r="DE231" s="84"/>
      <c r="DF231" s="84"/>
      <c r="DG231" s="84"/>
      <c r="DH231" s="84"/>
      <c r="DI231" s="84"/>
      <c r="DJ231" s="84"/>
      <c r="DK231" s="84"/>
      <c r="DL231" s="84"/>
      <c r="DM231" s="84"/>
      <c r="DN231" s="84"/>
      <c r="DO231" s="84"/>
      <c r="DP231" s="84"/>
      <c r="DQ231" s="84"/>
      <c r="DR231" s="84"/>
      <c r="DS231" s="84"/>
      <c r="DT231" s="84"/>
      <c r="DU231" s="84"/>
      <c r="DV231" s="84"/>
      <c r="DW231" s="84"/>
      <c r="DX231" s="84"/>
      <c r="DY231" s="84"/>
      <c r="DZ231" s="84"/>
      <c r="EA231" s="84"/>
      <c r="EB231" s="84"/>
      <c r="EC231" s="84"/>
      <c r="ED231" s="84"/>
      <c r="EE231" s="84"/>
      <c r="EF231" s="84"/>
      <c r="EG231" s="84"/>
      <c r="EH231" s="84"/>
      <c r="EI231" s="84"/>
      <c r="EJ231" s="84"/>
      <c r="EK231" s="84"/>
      <c r="EL231" s="84"/>
      <c r="EM231" s="84"/>
      <c r="EN231" s="84"/>
      <c r="EO231" s="84"/>
      <c r="EP231" s="84"/>
      <c r="EQ231" s="84"/>
      <c r="ER231" s="84"/>
      <c r="ES231" s="84"/>
      <c r="ET231" s="84"/>
      <c r="EU231" s="84"/>
      <c r="EV231" s="84"/>
      <c r="EW231" s="84"/>
      <c r="EX231" s="84"/>
      <c r="EY231" s="84"/>
      <c r="EZ231" s="84"/>
      <c r="FA231" s="84"/>
      <c r="FB231" s="84"/>
      <c r="FC231" s="84"/>
      <c r="FD231" s="84"/>
      <c r="FE231" s="84"/>
      <c r="FF231" s="84"/>
      <c r="FG231" s="84"/>
      <c r="FH231" s="84"/>
      <c r="FI231" s="84"/>
      <c r="FJ231" s="84"/>
      <c r="FK231" s="84"/>
      <c r="FL231" s="84"/>
      <c r="FM231" s="84"/>
      <c r="FN231" s="84"/>
      <c r="FO231" s="84"/>
      <c r="FP231" s="84"/>
      <c r="FQ231" s="84"/>
      <c r="FR231" s="84"/>
      <c r="FS231" s="84"/>
      <c r="FT231" s="84"/>
      <c r="FU231" s="84"/>
      <c r="FV231" s="84"/>
      <c r="FW231" s="84"/>
      <c r="FX231" s="84"/>
      <c r="FY231" s="84"/>
      <c r="FZ231" s="84"/>
      <c r="GA231" s="84"/>
      <c r="GB231" s="84"/>
      <c r="GC231" s="84"/>
      <c r="GD231" s="84"/>
      <c r="GE231" s="84"/>
      <c r="GF231" s="84"/>
      <c r="GG231" s="84"/>
      <c r="GH231" s="84"/>
      <c r="GI231" s="84"/>
      <c r="GJ231" s="84"/>
      <c r="GK231" s="84"/>
      <c r="GL231" s="84"/>
      <c r="GM231" s="84"/>
      <c r="GN231" s="84"/>
      <c r="GO231" s="84"/>
      <c r="GP231" s="84"/>
      <c r="GQ231" s="84"/>
      <c r="GR231" s="84"/>
      <c r="GS231" s="84"/>
      <c r="GT231" s="84"/>
      <c r="GU231" s="84"/>
      <c r="GV231" s="84"/>
      <c r="GW231" s="84"/>
      <c r="GX231" s="84"/>
      <c r="GY231" s="84"/>
      <c r="GZ231" s="84"/>
      <c r="HA231" s="84"/>
      <c r="HB231" s="84"/>
      <c r="HC231" s="84"/>
      <c r="HD231" s="84"/>
      <c r="HE231" s="84"/>
      <c r="HF231" s="84"/>
      <c r="HG231" s="84"/>
      <c r="HH231" s="84"/>
      <c r="HI231" s="84"/>
      <c r="HJ231" s="84"/>
      <c r="HK231" s="84"/>
      <c r="HL231" s="84"/>
      <c r="HM231" s="84"/>
      <c r="HN231" s="84"/>
      <c r="HO231" s="84"/>
      <c r="HP231" s="84"/>
      <c r="HQ231" s="84"/>
      <c r="HR231" s="84"/>
      <c r="HS231" s="84"/>
      <c r="HT231" s="84"/>
      <c r="HU231" s="84"/>
      <c r="HV231" s="84"/>
      <c r="HW231" s="84"/>
      <c r="HX231" s="84"/>
      <c r="HY231" s="84"/>
      <c r="HZ231" s="84"/>
      <c r="IA231" s="84"/>
      <c r="IB231" s="84"/>
      <c r="IC231" s="84"/>
      <c r="ID231" s="84"/>
      <c r="IE231" s="84"/>
      <c r="IF231" s="84"/>
      <c r="IG231" s="84"/>
      <c r="IH231" s="84"/>
      <c r="II231" s="84"/>
      <c r="IJ231" s="84"/>
    </row>
    <row r="232" spans="1:244" ht="25" x14ac:dyDescent="0.25">
      <c r="A232" s="84"/>
      <c r="B232" s="85" t="s">
        <v>135</v>
      </c>
      <c r="C232" s="41" t="s">
        <v>53</v>
      </c>
      <c r="D232" s="41">
        <f>2</f>
        <v>2</v>
      </c>
      <c r="E232" s="45">
        <f>ROUND(PI()/2*114/1000*7.57,2)</f>
        <v>1.36</v>
      </c>
      <c r="F232" s="41">
        <f t="shared" si="53"/>
        <v>2.72</v>
      </c>
      <c r="G232" s="41" t="s">
        <v>53</v>
      </c>
      <c r="H232" s="75">
        <v>0</v>
      </c>
      <c r="I232" s="75">
        <v>0</v>
      </c>
      <c r="J232" s="41">
        <f t="shared" si="54"/>
        <v>0</v>
      </c>
      <c r="K232" s="41">
        <f t="shared" si="55"/>
        <v>0</v>
      </c>
      <c r="L232" s="41">
        <f t="shared" si="56"/>
        <v>0</v>
      </c>
      <c r="M232" s="84"/>
      <c r="N232" s="84"/>
      <c r="O232" s="84"/>
      <c r="P232" s="84"/>
      <c r="Q232" s="84"/>
      <c r="R232" s="84"/>
      <c r="S232" s="84"/>
      <c r="T232" s="84"/>
      <c r="U232" s="84"/>
      <c r="V232" s="84"/>
      <c r="W232" s="84"/>
      <c r="X232" s="84"/>
      <c r="Y232" s="84"/>
      <c r="Z232" s="84"/>
      <c r="AA232" s="84"/>
      <c r="AB232" s="84"/>
      <c r="AC232" s="84"/>
      <c r="AD232" s="84"/>
      <c r="AE232" s="84"/>
      <c r="AF232" s="84"/>
      <c r="AG232" s="84"/>
      <c r="AH232" s="84"/>
      <c r="AI232" s="84"/>
      <c r="AJ232" s="84"/>
      <c r="AK232" s="84"/>
      <c r="AL232" s="84"/>
      <c r="AM232" s="84"/>
      <c r="AN232" s="84"/>
      <c r="AO232" s="84"/>
      <c r="AP232" s="84"/>
      <c r="AQ232" s="84"/>
      <c r="AR232" s="84"/>
      <c r="AS232" s="84"/>
      <c r="AT232" s="84"/>
      <c r="AU232" s="84"/>
      <c r="AV232" s="84"/>
      <c r="AW232" s="84"/>
      <c r="AX232" s="84"/>
      <c r="AY232" s="84"/>
      <c r="AZ232" s="84"/>
      <c r="BA232" s="84"/>
      <c r="BB232" s="84"/>
      <c r="BC232" s="84"/>
      <c r="BD232" s="84"/>
      <c r="BE232" s="84"/>
      <c r="BF232" s="84"/>
      <c r="BG232" s="84"/>
      <c r="BH232" s="84"/>
      <c r="BI232" s="84"/>
      <c r="BJ232" s="84"/>
      <c r="BK232" s="84"/>
      <c r="BL232" s="84"/>
      <c r="BM232" s="84"/>
      <c r="BN232" s="84"/>
      <c r="BO232" s="84"/>
      <c r="BP232" s="84"/>
      <c r="BQ232" s="84"/>
      <c r="BR232" s="84"/>
      <c r="BS232" s="84"/>
      <c r="BT232" s="84"/>
      <c r="BU232" s="84"/>
      <c r="BV232" s="84"/>
      <c r="BW232" s="84"/>
      <c r="BX232" s="84"/>
      <c r="BY232" s="84"/>
      <c r="BZ232" s="84"/>
      <c r="CA232" s="84"/>
      <c r="CB232" s="84"/>
      <c r="CC232" s="84"/>
      <c r="CD232" s="84"/>
      <c r="CE232" s="84"/>
      <c r="CF232" s="84"/>
      <c r="CG232" s="84"/>
      <c r="CH232" s="84"/>
      <c r="CI232" s="84"/>
      <c r="CJ232" s="84"/>
      <c r="CK232" s="84"/>
      <c r="CL232" s="84"/>
      <c r="CM232" s="84"/>
      <c r="CN232" s="84"/>
      <c r="CO232" s="84"/>
      <c r="CP232" s="84"/>
      <c r="CQ232" s="84"/>
      <c r="CR232" s="84"/>
      <c r="CS232" s="84"/>
      <c r="CT232" s="84"/>
      <c r="CU232" s="84"/>
      <c r="CV232" s="84"/>
      <c r="CW232" s="84"/>
      <c r="CX232" s="84"/>
      <c r="CY232" s="84"/>
      <c r="CZ232" s="84"/>
      <c r="DA232" s="84"/>
      <c r="DB232" s="84"/>
      <c r="DC232" s="84"/>
      <c r="DD232" s="84"/>
      <c r="DE232" s="84"/>
      <c r="DF232" s="84"/>
      <c r="DG232" s="84"/>
      <c r="DH232" s="84"/>
      <c r="DI232" s="84"/>
      <c r="DJ232" s="84"/>
      <c r="DK232" s="84"/>
      <c r="DL232" s="84"/>
      <c r="DM232" s="84"/>
      <c r="DN232" s="84"/>
      <c r="DO232" s="84"/>
      <c r="DP232" s="84"/>
      <c r="DQ232" s="84"/>
      <c r="DR232" s="84"/>
      <c r="DS232" s="84"/>
      <c r="DT232" s="84"/>
      <c r="DU232" s="84"/>
      <c r="DV232" s="84"/>
      <c r="DW232" s="84"/>
      <c r="DX232" s="84"/>
      <c r="DY232" s="84"/>
      <c r="DZ232" s="84"/>
      <c r="EA232" s="84"/>
      <c r="EB232" s="84"/>
      <c r="EC232" s="84"/>
      <c r="ED232" s="84"/>
      <c r="EE232" s="84"/>
      <c r="EF232" s="84"/>
      <c r="EG232" s="84"/>
      <c r="EH232" s="84"/>
      <c r="EI232" s="84"/>
      <c r="EJ232" s="84"/>
      <c r="EK232" s="84"/>
      <c r="EL232" s="84"/>
      <c r="EM232" s="84"/>
      <c r="EN232" s="84"/>
      <c r="EO232" s="84"/>
      <c r="EP232" s="84"/>
      <c r="EQ232" s="84"/>
      <c r="ER232" s="84"/>
      <c r="ES232" s="84"/>
      <c r="ET232" s="84"/>
      <c r="EU232" s="84"/>
      <c r="EV232" s="84"/>
      <c r="EW232" s="84"/>
      <c r="EX232" s="84"/>
      <c r="EY232" s="84"/>
      <c r="EZ232" s="84"/>
      <c r="FA232" s="84"/>
      <c r="FB232" s="84"/>
      <c r="FC232" s="84"/>
      <c r="FD232" s="84"/>
      <c r="FE232" s="84"/>
      <c r="FF232" s="84"/>
      <c r="FG232" s="84"/>
      <c r="FH232" s="84"/>
      <c r="FI232" s="84"/>
      <c r="FJ232" s="84"/>
      <c r="FK232" s="84"/>
      <c r="FL232" s="84"/>
      <c r="FM232" s="84"/>
      <c r="FN232" s="84"/>
      <c r="FO232" s="84"/>
      <c r="FP232" s="84"/>
      <c r="FQ232" s="84"/>
      <c r="FR232" s="84"/>
      <c r="FS232" s="84"/>
      <c r="FT232" s="84"/>
      <c r="FU232" s="84"/>
      <c r="FV232" s="84"/>
      <c r="FW232" s="84"/>
      <c r="FX232" s="84"/>
      <c r="FY232" s="84"/>
      <c r="FZ232" s="84"/>
      <c r="GA232" s="84"/>
      <c r="GB232" s="84"/>
      <c r="GC232" s="84"/>
      <c r="GD232" s="84"/>
      <c r="GE232" s="84"/>
      <c r="GF232" s="84"/>
      <c r="GG232" s="84"/>
      <c r="GH232" s="84"/>
      <c r="GI232" s="84"/>
      <c r="GJ232" s="84"/>
      <c r="GK232" s="84"/>
      <c r="GL232" s="84"/>
      <c r="GM232" s="84"/>
      <c r="GN232" s="84"/>
      <c r="GO232" s="84"/>
      <c r="GP232" s="84"/>
      <c r="GQ232" s="84"/>
      <c r="GR232" s="84"/>
      <c r="GS232" s="84"/>
      <c r="GT232" s="84"/>
      <c r="GU232" s="84"/>
      <c r="GV232" s="84"/>
      <c r="GW232" s="84"/>
      <c r="GX232" s="84"/>
      <c r="GY232" s="84"/>
      <c r="GZ232" s="84"/>
      <c r="HA232" s="84"/>
      <c r="HB232" s="84"/>
      <c r="HC232" s="84"/>
      <c r="HD232" s="84"/>
      <c r="HE232" s="84"/>
      <c r="HF232" s="84"/>
      <c r="HG232" s="84"/>
      <c r="HH232" s="84"/>
      <c r="HI232" s="84"/>
      <c r="HJ232" s="84"/>
      <c r="HK232" s="84"/>
      <c r="HL232" s="84"/>
      <c r="HM232" s="84"/>
      <c r="HN232" s="84"/>
      <c r="HO232" s="84"/>
      <c r="HP232" s="84"/>
      <c r="HQ232" s="84"/>
      <c r="HR232" s="84"/>
      <c r="HS232" s="84"/>
      <c r="HT232" s="84"/>
      <c r="HU232" s="84"/>
      <c r="HV232" s="84"/>
      <c r="HW232" s="84"/>
      <c r="HX232" s="84"/>
      <c r="HY232" s="84"/>
      <c r="HZ232" s="84"/>
      <c r="IA232" s="84"/>
      <c r="IB232" s="84"/>
      <c r="IC232" s="84"/>
      <c r="ID232" s="84"/>
      <c r="IE232" s="84"/>
      <c r="IF232" s="84"/>
      <c r="IG232" s="84"/>
      <c r="IH232" s="84"/>
      <c r="II232" s="84"/>
      <c r="IJ232" s="84"/>
    </row>
    <row r="233" spans="1:244" ht="25" x14ac:dyDescent="0.25">
      <c r="A233" s="84"/>
      <c r="B233" s="85" t="s">
        <v>111</v>
      </c>
      <c r="C233" s="41" t="s">
        <v>53</v>
      </c>
      <c r="D233" s="41">
        <f>3+4</f>
        <v>7</v>
      </c>
      <c r="E233" s="45">
        <f>ROUND(PI()/2*190/1000*15,2)</f>
        <v>4.4800000000000004</v>
      </c>
      <c r="F233" s="41">
        <f t="shared" si="53"/>
        <v>31.360000000000003</v>
      </c>
      <c r="G233" s="41" t="s">
        <v>53</v>
      </c>
      <c r="H233" s="75">
        <v>0</v>
      </c>
      <c r="I233" s="75">
        <v>0</v>
      </c>
      <c r="J233" s="41">
        <f t="shared" si="54"/>
        <v>0</v>
      </c>
      <c r="K233" s="41">
        <f t="shared" si="55"/>
        <v>0</v>
      </c>
      <c r="L233" s="41">
        <f t="shared" si="56"/>
        <v>0</v>
      </c>
      <c r="M233" s="84"/>
      <c r="N233" s="84"/>
      <c r="O233" s="84"/>
      <c r="P233" s="84"/>
      <c r="Q233" s="84"/>
      <c r="R233" s="84"/>
      <c r="S233" s="84"/>
      <c r="T233" s="84"/>
      <c r="U233" s="84"/>
      <c r="V233" s="84"/>
      <c r="W233" s="84"/>
      <c r="X233" s="84"/>
      <c r="Y233" s="84"/>
      <c r="Z233" s="84"/>
      <c r="AA233" s="84"/>
      <c r="AB233" s="84"/>
      <c r="AC233" s="84"/>
      <c r="AD233" s="84"/>
      <c r="AE233" s="84"/>
      <c r="AF233" s="84"/>
      <c r="AG233" s="84"/>
      <c r="AH233" s="84"/>
      <c r="AI233" s="84"/>
      <c r="AJ233" s="84"/>
      <c r="AK233" s="84"/>
      <c r="AL233" s="84"/>
      <c r="AM233" s="84"/>
      <c r="AN233" s="84"/>
      <c r="AO233" s="84"/>
      <c r="AP233" s="84"/>
      <c r="AQ233" s="84"/>
      <c r="AR233" s="84"/>
      <c r="AS233" s="84"/>
      <c r="AT233" s="84"/>
      <c r="AU233" s="84"/>
      <c r="AV233" s="84"/>
      <c r="AW233" s="84"/>
      <c r="AX233" s="84"/>
      <c r="AY233" s="84"/>
      <c r="AZ233" s="84"/>
      <c r="BA233" s="84"/>
      <c r="BB233" s="84"/>
      <c r="BC233" s="84"/>
      <c r="BD233" s="84"/>
      <c r="BE233" s="84"/>
      <c r="BF233" s="84"/>
      <c r="BG233" s="84"/>
      <c r="BH233" s="84"/>
      <c r="BI233" s="84"/>
      <c r="BJ233" s="84"/>
      <c r="BK233" s="84"/>
      <c r="BL233" s="84"/>
      <c r="BM233" s="84"/>
      <c r="BN233" s="84"/>
      <c r="BO233" s="84"/>
      <c r="BP233" s="84"/>
      <c r="BQ233" s="84"/>
      <c r="BR233" s="84"/>
      <c r="BS233" s="84"/>
      <c r="BT233" s="84"/>
      <c r="BU233" s="84"/>
      <c r="BV233" s="84"/>
      <c r="BW233" s="84"/>
      <c r="BX233" s="84"/>
      <c r="BY233" s="84"/>
      <c r="BZ233" s="84"/>
      <c r="CA233" s="84"/>
      <c r="CB233" s="84"/>
      <c r="CC233" s="84"/>
      <c r="CD233" s="84"/>
      <c r="CE233" s="84"/>
      <c r="CF233" s="84"/>
      <c r="CG233" s="84"/>
      <c r="CH233" s="84"/>
      <c r="CI233" s="84"/>
      <c r="CJ233" s="84"/>
      <c r="CK233" s="84"/>
      <c r="CL233" s="84"/>
      <c r="CM233" s="84"/>
      <c r="CN233" s="84"/>
      <c r="CO233" s="84"/>
      <c r="CP233" s="84"/>
      <c r="CQ233" s="84"/>
      <c r="CR233" s="84"/>
      <c r="CS233" s="84"/>
      <c r="CT233" s="84"/>
      <c r="CU233" s="84"/>
      <c r="CV233" s="84"/>
      <c r="CW233" s="84"/>
      <c r="CX233" s="84"/>
      <c r="CY233" s="84"/>
      <c r="CZ233" s="84"/>
      <c r="DA233" s="84"/>
      <c r="DB233" s="84"/>
      <c r="DC233" s="84"/>
      <c r="DD233" s="84"/>
      <c r="DE233" s="84"/>
      <c r="DF233" s="84"/>
      <c r="DG233" s="84"/>
      <c r="DH233" s="84"/>
      <c r="DI233" s="84"/>
      <c r="DJ233" s="84"/>
      <c r="DK233" s="84"/>
      <c r="DL233" s="84"/>
      <c r="DM233" s="84"/>
      <c r="DN233" s="84"/>
      <c r="DO233" s="84"/>
      <c r="DP233" s="84"/>
      <c r="DQ233" s="84"/>
      <c r="DR233" s="84"/>
      <c r="DS233" s="84"/>
      <c r="DT233" s="84"/>
      <c r="DU233" s="84"/>
      <c r="DV233" s="84"/>
      <c r="DW233" s="84"/>
      <c r="DX233" s="84"/>
      <c r="DY233" s="84"/>
      <c r="DZ233" s="84"/>
      <c r="EA233" s="84"/>
      <c r="EB233" s="84"/>
      <c r="EC233" s="84"/>
      <c r="ED233" s="84"/>
      <c r="EE233" s="84"/>
      <c r="EF233" s="84"/>
      <c r="EG233" s="84"/>
      <c r="EH233" s="84"/>
      <c r="EI233" s="84"/>
      <c r="EJ233" s="84"/>
      <c r="EK233" s="84"/>
      <c r="EL233" s="84"/>
      <c r="EM233" s="84"/>
      <c r="EN233" s="84"/>
      <c r="EO233" s="84"/>
      <c r="EP233" s="84"/>
      <c r="EQ233" s="84"/>
      <c r="ER233" s="84"/>
      <c r="ES233" s="84"/>
      <c r="ET233" s="84"/>
      <c r="EU233" s="84"/>
      <c r="EV233" s="84"/>
      <c r="EW233" s="84"/>
      <c r="EX233" s="84"/>
      <c r="EY233" s="84"/>
      <c r="EZ233" s="84"/>
      <c r="FA233" s="84"/>
      <c r="FB233" s="84"/>
      <c r="FC233" s="84"/>
      <c r="FD233" s="84"/>
      <c r="FE233" s="84"/>
      <c r="FF233" s="84"/>
      <c r="FG233" s="84"/>
      <c r="FH233" s="84"/>
      <c r="FI233" s="84"/>
      <c r="FJ233" s="84"/>
      <c r="FK233" s="84"/>
      <c r="FL233" s="84"/>
      <c r="FM233" s="84"/>
      <c r="FN233" s="84"/>
      <c r="FO233" s="84"/>
      <c r="FP233" s="84"/>
      <c r="FQ233" s="84"/>
      <c r="FR233" s="84"/>
      <c r="FS233" s="84"/>
      <c r="FT233" s="84"/>
      <c r="FU233" s="84"/>
      <c r="FV233" s="84"/>
      <c r="FW233" s="84"/>
      <c r="FX233" s="84"/>
      <c r="FY233" s="84"/>
      <c r="FZ233" s="84"/>
      <c r="GA233" s="84"/>
      <c r="GB233" s="84"/>
      <c r="GC233" s="84"/>
      <c r="GD233" s="84"/>
      <c r="GE233" s="84"/>
      <c r="GF233" s="84"/>
      <c r="GG233" s="84"/>
      <c r="GH233" s="84"/>
      <c r="GI233" s="84"/>
      <c r="GJ233" s="84"/>
      <c r="GK233" s="84"/>
      <c r="GL233" s="84"/>
      <c r="GM233" s="84"/>
      <c r="GN233" s="84"/>
      <c r="GO233" s="84"/>
      <c r="GP233" s="84"/>
      <c r="GQ233" s="84"/>
      <c r="GR233" s="84"/>
      <c r="GS233" s="84"/>
      <c r="GT233" s="84"/>
      <c r="GU233" s="84"/>
      <c r="GV233" s="84"/>
      <c r="GW233" s="84"/>
      <c r="GX233" s="84"/>
      <c r="GY233" s="84"/>
      <c r="GZ233" s="84"/>
      <c r="HA233" s="84"/>
      <c r="HB233" s="84"/>
      <c r="HC233" s="84"/>
      <c r="HD233" s="84"/>
      <c r="HE233" s="84"/>
      <c r="HF233" s="84"/>
      <c r="HG233" s="84"/>
      <c r="HH233" s="84"/>
      <c r="HI233" s="84"/>
      <c r="HJ233" s="84"/>
      <c r="HK233" s="84"/>
      <c r="HL233" s="84"/>
      <c r="HM233" s="84"/>
      <c r="HN233" s="84"/>
      <c r="HO233" s="84"/>
      <c r="HP233" s="84"/>
      <c r="HQ233" s="84"/>
      <c r="HR233" s="84"/>
      <c r="HS233" s="84"/>
      <c r="HT233" s="84"/>
      <c r="HU233" s="84"/>
      <c r="HV233" s="84"/>
      <c r="HW233" s="84"/>
      <c r="HX233" s="84"/>
      <c r="HY233" s="84"/>
      <c r="HZ233" s="84"/>
      <c r="IA233" s="84"/>
      <c r="IB233" s="84"/>
      <c r="IC233" s="84"/>
      <c r="ID233" s="84"/>
      <c r="IE233" s="84"/>
      <c r="IF233" s="84"/>
      <c r="IG233" s="84"/>
      <c r="IH233" s="84"/>
      <c r="II233" s="84"/>
      <c r="IJ233" s="84"/>
    </row>
    <row r="234" spans="1:244" s="81" customFormat="1" ht="25" x14ac:dyDescent="0.25">
      <c r="A234" s="84"/>
      <c r="B234" s="85" t="s">
        <v>113</v>
      </c>
      <c r="C234" s="41" t="s">
        <v>53</v>
      </c>
      <c r="D234" s="41">
        <f>2</f>
        <v>2</v>
      </c>
      <c r="E234" s="45">
        <f>ROUND(PI()/2*305/1000*33.1,2)</f>
        <v>15.86</v>
      </c>
      <c r="F234" s="41">
        <f t="shared" si="53"/>
        <v>31.72</v>
      </c>
      <c r="G234" s="41" t="s">
        <v>53</v>
      </c>
      <c r="H234" s="75">
        <v>0</v>
      </c>
      <c r="I234" s="75">
        <v>0</v>
      </c>
      <c r="J234" s="41">
        <f t="shared" si="54"/>
        <v>0</v>
      </c>
      <c r="K234" s="41">
        <f t="shared" si="55"/>
        <v>0</v>
      </c>
      <c r="L234" s="41">
        <f t="shared" si="56"/>
        <v>0</v>
      </c>
      <c r="M234" s="84"/>
      <c r="N234" s="84"/>
      <c r="O234" s="84"/>
      <c r="P234" s="84"/>
      <c r="Q234" s="84"/>
      <c r="R234" s="84"/>
      <c r="S234" s="84"/>
      <c r="T234" s="84"/>
      <c r="U234" s="84"/>
      <c r="V234" s="84"/>
      <c r="W234" s="84"/>
      <c r="X234" s="84"/>
      <c r="Y234" s="84"/>
      <c r="Z234" s="84"/>
      <c r="AA234" s="84"/>
      <c r="AB234" s="84"/>
      <c r="AC234" s="84"/>
      <c r="AD234" s="84"/>
      <c r="AE234" s="84"/>
      <c r="AF234" s="84"/>
      <c r="AG234" s="84"/>
      <c r="AH234" s="84"/>
      <c r="AI234" s="84"/>
      <c r="AJ234" s="84"/>
      <c r="AK234" s="84"/>
      <c r="AL234" s="84"/>
      <c r="AM234" s="84"/>
      <c r="AN234" s="84"/>
      <c r="AO234" s="84"/>
      <c r="AP234" s="84"/>
      <c r="AQ234" s="84"/>
      <c r="AR234" s="84"/>
      <c r="AS234" s="84"/>
      <c r="AT234" s="84"/>
      <c r="AU234" s="84"/>
      <c r="AV234" s="84"/>
      <c r="AW234" s="84"/>
      <c r="AX234" s="84"/>
      <c r="AY234" s="84"/>
      <c r="AZ234" s="84"/>
      <c r="BA234" s="84"/>
      <c r="BB234" s="84"/>
      <c r="BC234" s="84"/>
      <c r="BD234" s="84"/>
      <c r="BE234" s="84"/>
      <c r="BF234" s="84"/>
      <c r="BG234" s="84"/>
      <c r="BH234" s="84"/>
      <c r="BI234" s="84"/>
      <c r="BJ234" s="84"/>
      <c r="BK234" s="84"/>
      <c r="BL234" s="84"/>
      <c r="BM234" s="84"/>
      <c r="BN234" s="84"/>
      <c r="BO234" s="84"/>
      <c r="BP234" s="84"/>
      <c r="BQ234" s="84"/>
      <c r="BR234" s="84"/>
      <c r="BS234" s="84"/>
      <c r="BT234" s="84"/>
      <c r="BU234" s="84"/>
      <c r="BV234" s="84"/>
      <c r="BW234" s="84"/>
      <c r="BX234" s="84"/>
      <c r="BY234" s="84"/>
      <c r="BZ234" s="84"/>
      <c r="CA234" s="84"/>
      <c r="CB234" s="84"/>
      <c r="CC234" s="84"/>
      <c r="CD234" s="84"/>
      <c r="CE234" s="84"/>
      <c r="CF234" s="84"/>
      <c r="CG234" s="84"/>
      <c r="CH234" s="84"/>
      <c r="CI234" s="84"/>
      <c r="CJ234" s="84"/>
      <c r="CK234" s="84"/>
      <c r="CL234" s="84"/>
      <c r="CM234" s="84"/>
      <c r="CN234" s="84"/>
      <c r="CO234" s="84"/>
      <c r="CP234" s="84"/>
      <c r="CQ234" s="84"/>
      <c r="CR234" s="84"/>
      <c r="CS234" s="84"/>
      <c r="CT234" s="84"/>
      <c r="CU234" s="84"/>
      <c r="CV234" s="84"/>
      <c r="CW234" s="84"/>
      <c r="CX234" s="84"/>
      <c r="CY234" s="84"/>
      <c r="CZ234" s="84"/>
      <c r="DA234" s="84"/>
      <c r="DB234" s="84"/>
      <c r="DC234" s="84"/>
      <c r="DD234" s="84"/>
      <c r="DE234" s="84"/>
      <c r="DF234" s="84"/>
      <c r="DG234" s="84"/>
      <c r="DH234" s="84"/>
      <c r="DI234" s="84"/>
      <c r="DJ234" s="84"/>
      <c r="DK234" s="84"/>
      <c r="DL234" s="84"/>
      <c r="DM234" s="84"/>
      <c r="DN234" s="84"/>
      <c r="DO234" s="84"/>
      <c r="DP234" s="84"/>
      <c r="DQ234" s="84"/>
      <c r="DR234" s="84"/>
      <c r="DS234" s="84"/>
      <c r="DT234" s="84"/>
      <c r="DU234" s="84"/>
      <c r="DV234" s="84"/>
      <c r="DW234" s="84"/>
      <c r="DX234" s="84"/>
      <c r="DY234" s="84"/>
      <c r="DZ234" s="84"/>
      <c r="EA234" s="84"/>
      <c r="EB234" s="84"/>
      <c r="EC234" s="84"/>
      <c r="ED234" s="84"/>
      <c r="EE234" s="84"/>
      <c r="EF234" s="84"/>
      <c r="EG234" s="84"/>
      <c r="EH234" s="84"/>
      <c r="EI234" s="84"/>
      <c r="EJ234" s="84"/>
      <c r="EK234" s="84"/>
      <c r="EL234" s="84"/>
      <c r="EM234" s="84"/>
      <c r="EN234" s="84"/>
      <c r="EO234" s="84"/>
      <c r="EP234" s="84"/>
      <c r="EQ234" s="84"/>
      <c r="ER234" s="84"/>
      <c r="ES234" s="84"/>
      <c r="ET234" s="84"/>
      <c r="EU234" s="84"/>
      <c r="EV234" s="84"/>
      <c r="EW234" s="84"/>
      <c r="EX234" s="84"/>
      <c r="EY234" s="84"/>
      <c r="EZ234" s="84"/>
      <c r="FA234" s="84"/>
      <c r="FB234" s="84"/>
      <c r="FC234" s="84"/>
      <c r="FD234" s="84"/>
      <c r="FE234" s="84"/>
      <c r="FF234" s="84"/>
      <c r="FG234" s="84"/>
      <c r="FH234" s="84"/>
      <c r="FI234" s="84"/>
      <c r="FJ234" s="84"/>
      <c r="FK234" s="84"/>
      <c r="FL234" s="84"/>
      <c r="FM234" s="84"/>
      <c r="FN234" s="84"/>
      <c r="FO234" s="84"/>
      <c r="FP234" s="84"/>
      <c r="FQ234" s="84"/>
      <c r="FR234" s="84"/>
      <c r="FS234" s="84"/>
      <c r="FT234" s="84"/>
      <c r="FU234" s="84"/>
      <c r="FV234" s="84"/>
      <c r="FW234" s="84"/>
      <c r="FX234" s="84"/>
      <c r="FY234" s="84"/>
      <c r="FZ234" s="84"/>
      <c r="GA234" s="84"/>
      <c r="GB234" s="84"/>
      <c r="GC234" s="84"/>
      <c r="GD234" s="84"/>
      <c r="GE234" s="84"/>
      <c r="GF234" s="84"/>
      <c r="GG234" s="84"/>
      <c r="GH234" s="84"/>
      <c r="GI234" s="84"/>
      <c r="GJ234" s="84"/>
      <c r="GK234" s="84"/>
      <c r="GL234" s="84"/>
      <c r="GM234" s="84"/>
      <c r="GN234" s="84"/>
      <c r="GO234" s="84"/>
      <c r="GP234" s="84"/>
      <c r="GQ234" s="84"/>
      <c r="GR234" s="84"/>
      <c r="GS234" s="84"/>
      <c r="GT234" s="84"/>
      <c r="GU234" s="84"/>
      <c r="GV234" s="84"/>
      <c r="GW234" s="84"/>
      <c r="GX234" s="84"/>
      <c r="GY234" s="84"/>
      <c r="GZ234" s="84"/>
      <c r="HA234" s="84"/>
      <c r="HB234" s="84"/>
      <c r="HC234" s="84"/>
      <c r="HD234" s="84"/>
      <c r="HE234" s="84"/>
      <c r="HF234" s="84"/>
      <c r="HG234" s="84"/>
      <c r="HH234" s="84"/>
      <c r="HI234" s="84"/>
      <c r="HJ234" s="84"/>
      <c r="HK234" s="84"/>
      <c r="HL234" s="84"/>
      <c r="HM234" s="84"/>
      <c r="HN234" s="84"/>
      <c r="HO234" s="84"/>
      <c r="HP234" s="84"/>
      <c r="HQ234" s="84"/>
      <c r="HR234" s="84"/>
      <c r="HS234" s="84"/>
      <c r="HT234" s="84"/>
      <c r="HU234" s="84"/>
      <c r="HV234" s="84"/>
      <c r="HW234" s="84"/>
      <c r="HX234" s="84"/>
      <c r="HY234" s="84"/>
      <c r="HZ234" s="84"/>
      <c r="IA234" s="84"/>
      <c r="IB234" s="84"/>
      <c r="IC234" s="84"/>
      <c r="ID234" s="84"/>
      <c r="IE234" s="84"/>
      <c r="IF234" s="84"/>
      <c r="IG234" s="84"/>
      <c r="IH234" s="84"/>
      <c r="II234" s="84"/>
      <c r="IJ234" s="84"/>
    </row>
    <row r="235" spans="1:244" s="43" customFormat="1" ht="25" x14ac:dyDescent="0.25">
      <c r="A235" s="54"/>
      <c r="B235" s="44" t="s">
        <v>384</v>
      </c>
      <c r="C235" s="41" t="s">
        <v>53</v>
      </c>
      <c r="D235" s="41">
        <f>1</f>
        <v>1</v>
      </c>
      <c r="E235" s="45">
        <f>ROUND(38*3/1000*1.99,2)</f>
        <v>0.23</v>
      </c>
      <c r="F235" s="55">
        <f t="shared" si="53"/>
        <v>0.23</v>
      </c>
      <c r="G235" s="41" t="s">
        <v>53</v>
      </c>
      <c r="H235" s="41">
        <v>0</v>
      </c>
      <c r="I235" s="41">
        <v>0</v>
      </c>
      <c r="J235" s="41">
        <f t="shared" si="54"/>
        <v>0</v>
      </c>
      <c r="K235" s="41">
        <f t="shared" si="55"/>
        <v>0</v>
      </c>
      <c r="L235" s="41">
        <f t="shared" si="56"/>
        <v>0</v>
      </c>
    </row>
    <row r="236" spans="1:244" s="43" customFormat="1" ht="25" x14ac:dyDescent="0.25">
      <c r="A236" s="54"/>
      <c r="B236" s="44" t="s">
        <v>383</v>
      </c>
      <c r="C236" s="41" t="s">
        <v>53</v>
      </c>
      <c r="D236" s="41">
        <f>1</f>
        <v>1</v>
      </c>
      <c r="E236" s="45">
        <f>ROUND(64*3/1000*4.11,2)</f>
        <v>0.79</v>
      </c>
      <c r="F236" s="55">
        <f t="shared" si="53"/>
        <v>0.79</v>
      </c>
      <c r="G236" s="41" t="s">
        <v>53</v>
      </c>
      <c r="H236" s="41">
        <v>0</v>
      </c>
      <c r="I236" s="41">
        <v>0</v>
      </c>
      <c r="J236" s="41">
        <f t="shared" si="54"/>
        <v>0</v>
      </c>
      <c r="K236" s="41">
        <f t="shared" si="55"/>
        <v>0</v>
      </c>
      <c r="L236" s="41">
        <f t="shared" si="56"/>
        <v>0</v>
      </c>
    </row>
    <row r="237" spans="1:244" s="81" customFormat="1" ht="25" x14ac:dyDescent="0.25">
      <c r="A237" s="54"/>
      <c r="B237" s="44" t="s">
        <v>381</v>
      </c>
      <c r="C237" s="41" t="s">
        <v>53</v>
      </c>
      <c r="D237" s="41">
        <v>2</v>
      </c>
      <c r="E237" s="45">
        <f>ROUND(76*3/1000*5.75,2)</f>
        <v>1.31</v>
      </c>
      <c r="F237" s="55">
        <f>D237*E237</f>
        <v>2.62</v>
      </c>
      <c r="G237" s="41" t="s">
        <v>53</v>
      </c>
      <c r="H237" s="41">
        <v>0</v>
      </c>
      <c r="I237" s="41">
        <v>0</v>
      </c>
      <c r="J237" s="41">
        <f>$D237*H237</f>
        <v>0</v>
      </c>
      <c r="K237" s="41">
        <f t="shared" si="55"/>
        <v>0</v>
      </c>
      <c r="L237" s="41">
        <f>J237+K237</f>
        <v>0</v>
      </c>
    </row>
    <row r="238" spans="1:244" s="81" customFormat="1" ht="25" x14ac:dyDescent="0.25">
      <c r="A238" s="54"/>
      <c r="B238" s="44" t="s">
        <v>305</v>
      </c>
      <c r="C238" s="41" t="s">
        <v>53</v>
      </c>
      <c r="D238" s="41">
        <f>5</f>
        <v>5</v>
      </c>
      <c r="E238" s="45">
        <f>ROUND(76*3/1000*5.75,2)</f>
        <v>1.31</v>
      </c>
      <c r="F238" s="55">
        <f t="shared" si="53"/>
        <v>6.5500000000000007</v>
      </c>
      <c r="G238" s="41" t="s">
        <v>53</v>
      </c>
      <c r="H238" s="41">
        <v>0</v>
      </c>
      <c r="I238" s="41">
        <v>0</v>
      </c>
      <c r="J238" s="41">
        <f t="shared" si="54"/>
        <v>0</v>
      </c>
      <c r="K238" s="41">
        <f t="shared" si="55"/>
        <v>0</v>
      </c>
      <c r="L238" s="41">
        <f t="shared" si="56"/>
        <v>0</v>
      </c>
    </row>
    <row r="239" spans="1:244" s="43" customFormat="1" ht="37.5" x14ac:dyDescent="0.25">
      <c r="A239" s="54"/>
      <c r="B239" s="44" t="s">
        <v>382</v>
      </c>
      <c r="C239" s="41" t="s">
        <v>53</v>
      </c>
      <c r="D239" s="41">
        <f>1</f>
        <v>1</v>
      </c>
      <c r="E239" s="45">
        <f>ROUND(76/1000*4.1,2)</f>
        <v>0.31</v>
      </c>
      <c r="F239" s="55">
        <f t="shared" si="53"/>
        <v>0.31</v>
      </c>
      <c r="G239" s="41" t="s">
        <v>53</v>
      </c>
      <c r="H239" s="41">
        <v>0</v>
      </c>
      <c r="I239" s="41">
        <v>0</v>
      </c>
      <c r="J239" s="41">
        <f t="shared" si="54"/>
        <v>0</v>
      </c>
      <c r="K239" s="41">
        <f t="shared" si="55"/>
        <v>0</v>
      </c>
      <c r="L239" s="41">
        <f t="shared" si="56"/>
        <v>0</v>
      </c>
    </row>
    <row r="240" spans="1:244" s="81" customFormat="1" ht="37.5" x14ac:dyDescent="0.25">
      <c r="A240" s="54"/>
      <c r="B240" s="44" t="s">
        <v>221</v>
      </c>
      <c r="C240" s="41" t="s">
        <v>53</v>
      </c>
      <c r="D240" s="41">
        <f>2</f>
        <v>2</v>
      </c>
      <c r="E240" s="45">
        <f>ROUND(76/1000*4.1,2)</f>
        <v>0.31</v>
      </c>
      <c r="F240" s="55">
        <f t="shared" si="53"/>
        <v>0.62</v>
      </c>
      <c r="G240" s="41" t="s">
        <v>53</v>
      </c>
      <c r="H240" s="41">
        <v>0</v>
      </c>
      <c r="I240" s="41">
        <v>0</v>
      </c>
      <c r="J240" s="41">
        <f t="shared" si="54"/>
        <v>0</v>
      </c>
      <c r="K240" s="41">
        <f t="shared" si="55"/>
        <v>0</v>
      </c>
      <c r="L240" s="41">
        <f t="shared" si="56"/>
        <v>0</v>
      </c>
    </row>
    <row r="241" spans="1:244" s="81" customFormat="1" ht="37.5" x14ac:dyDescent="0.25">
      <c r="A241" s="54"/>
      <c r="B241" s="44" t="s">
        <v>151</v>
      </c>
      <c r="C241" s="41" t="s">
        <v>53</v>
      </c>
      <c r="D241" s="41">
        <f>2</f>
        <v>2</v>
      </c>
      <c r="E241" s="45">
        <f>ROUND(89/1000*5.75,2)</f>
        <v>0.51</v>
      </c>
      <c r="F241" s="55">
        <f t="shared" si="53"/>
        <v>1.02</v>
      </c>
      <c r="G241" s="41" t="s">
        <v>53</v>
      </c>
      <c r="H241" s="41">
        <v>0</v>
      </c>
      <c r="I241" s="41">
        <v>0</v>
      </c>
      <c r="J241" s="41">
        <f t="shared" si="54"/>
        <v>0</v>
      </c>
      <c r="K241" s="41">
        <f t="shared" si="55"/>
        <v>0</v>
      </c>
      <c r="L241" s="41">
        <f t="shared" si="56"/>
        <v>0</v>
      </c>
    </row>
    <row r="242" spans="1:244" s="81" customFormat="1" ht="37.5" x14ac:dyDescent="0.25">
      <c r="A242" s="54"/>
      <c r="B242" s="44" t="s">
        <v>112</v>
      </c>
      <c r="C242" s="41" t="s">
        <v>53</v>
      </c>
      <c r="D242" s="41">
        <f>1</f>
        <v>1</v>
      </c>
      <c r="E242" s="45">
        <f>ROUND(89/1000*5.75,2)</f>
        <v>0.51</v>
      </c>
      <c r="F242" s="55">
        <f t="shared" si="53"/>
        <v>0.51</v>
      </c>
      <c r="G242" s="41" t="s">
        <v>53</v>
      </c>
      <c r="H242" s="41">
        <v>0</v>
      </c>
      <c r="I242" s="41">
        <v>0</v>
      </c>
      <c r="J242" s="41">
        <f t="shared" si="54"/>
        <v>0</v>
      </c>
      <c r="K242" s="41">
        <f t="shared" si="55"/>
        <v>0</v>
      </c>
      <c r="L242" s="41">
        <f t="shared" si="56"/>
        <v>0</v>
      </c>
    </row>
    <row r="243" spans="1:244" s="81" customFormat="1" ht="37.5" x14ac:dyDescent="0.25">
      <c r="A243" s="54"/>
      <c r="B243" s="44" t="s">
        <v>137</v>
      </c>
      <c r="C243" s="41" t="s">
        <v>53</v>
      </c>
      <c r="D243" s="41">
        <f>2</f>
        <v>2</v>
      </c>
      <c r="E243" s="45">
        <f>ROUND(89/1000*7.57,2)</f>
        <v>0.67</v>
      </c>
      <c r="F243" s="55">
        <f t="shared" ref="F243:F252" si="57">D243*E243</f>
        <v>1.34</v>
      </c>
      <c r="G243" s="41" t="s">
        <v>53</v>
      </c>
      <c r="H243" s="41">
        <v>0</v>
      </c>
      <c r="I243" s="41">
        <v>0</v>
      </c>
      <c r="J243" s="41">
        <f t="shared" ref="J243:K252" si="58">$D243*H243</f>
        <v>0</v>
      </c>
      <c r="K243" s="41">
        <f t="shared" si="58"/>
        <v>0</v>
      </c>
      <c r="L243" s="41">
        <f t="shared" ref="L243:L252" si="59">J243+K243</f>
        <v>0</v>
      </c>
    </row>
    <row r="244" spans="1:244" s="81" customFormat="1" ht="25" x14ac:dyDescent="0.25">
      <c r="A244" s="54"/>
      <c r="B244" s="44" t="s">
        <v>298</v>
      </c>
      <c r="C244" s="41" t="s">
        <v>53</v>
      </c>
      <c r="D244" s="41">
        <f>1</f>
        <v>1</v>
      </c>
      <c r="E244" s="45">
        <f>ROUND(11*2/1000*1.99,2)</f>
        <v>0.04</v>
      </c>
      <c r="F244" s="55">
        <f t="shared" si="57"/>
        <v>0.04</v>
      </c>
      <c r="G244" s="41" t="s">
        <v>53</v>
      </c>
      <c r="H244" s="41">
        <v>0</v>
      </c>
      <c r="I244" s="41">
        <v>0</v>
      </c>
      <c r="J244" s="41">
        <f t="shared" si="58"/>
        <v>0</v>
      </c>
      <c r="K244" s="41">
        <f t="shared" si="58"/>
        <v>0</v>
      </c>
      <c r="L244" s="41">
        <f t="shared" si="59"/>
        <v>0</v>
      </c>
    </row>
    <row r="245" spans="1:244" s="81" customFormat="1" ht="25" x14ac:dyDescent="0.25">
      <c r="A245" s="54"/>
      <c r="B245" s="44" t="s">
        <v>300</v>
      </c>
      <c r="C245" s="41" t="s">
        <v>53</v>
      </c>
      <c r="D245" s="41">
        <f>1</f>
        <v>1</v>
      </c>
      <c r="E245" s="45">
        <f>ROUND(18.5*2/1000*5.75,2)</f>
        <v>0.21</v>
      </c>
      <c r="F245" s="55">
        <f t="shared" si="57"/>
        <v>0.21</v>
      </c>
      <c r="G245" s="41" t="s">
        <v>53</v>
      </c>
      <c r="H245" s="41">
        <v>0</v>
      </c>
      <c r="I245" s="41">
        <v>0</v>
      </c>
      <c r="J245" s="41">
        <f t="shared" si="58"/>
        <v>0</v>
      </c>
      <c r="K245" s="41">
        <f t="shared" si="58"/>
        <v>0</v>
      </c>
      <c r="L245" s="41">
        <f t="shared" si="59"/>
        <v>0</v>
      </c>
    </row>
    <row r="246" spans="1:244" ht="25" x14ac:dyDescent="0.25">
      <c r="A246" s="54"/>
      <c r="B246" s="44" t="s">
        <v>306</v>
      </c>
      <c r="C246" s="41" t="s">
        <v>53</v>
      </c>
      <c r="D246" s="41">
        <f>1</f>
        <v>1</v>
      </c>
      <c r="E246" s="45">
        <f>ROUND(26*2/1000*10.9,2)</f>
        <v>0.56999999999999995</v>
      </c>
      <c r="F246" s="55">
        <f t="shared" si="57"/>
        <v>0.56999999999999995</v>
      </c>
      <c r="G246" s="41" t="s">
        <v>53</v>
      </c>
      <c r="H246" s="41">
        <v>0</v>
      </c>
      <c r="I246" s="41">
        <v>0</v>
      </c>
      <c r="J246" s="41">
        <f t="shared" si="58"/>
        <v>0</v>
      </c>
      <c r="K246" s="41">
        <f t="shared" si="58"/>
        <v>0</v>
      </c>
      <c r="L246" s="41">
        <f t="shared" si="59"/>
        <v>0</v>
      </c>
      <c r="M246" s="81"/>
      <c r="N246" s="81"/>
      <c r="O246" s="81"/>
      <c r="P246" s="81"/>
      <c r="Q246" s="81"/>
      <c r="R246" s="81"/>
      <c r="S246" s="81"/>
      <c r="T246" s="81"/>
      <c r="U246" s="81"/>
      <c r="V246" s="81"/>
      <c r="W246" s="81"/>
      <c r="X246" s="81"/>
      <c r="Y246" s="81"/>
      <c r="Z246" s="81"/>
      <c r="AA246" s="81"/>
      <c r="AB246" s="81"/>
      <c r="AC246" s="81"/>
      <c r="AD246" s="81"/>
      <c r="AE246" s="81"/>
      <c r="AF246" s="81"/>
      <c r="AG246" s="81"/>
      <c r="AH246" s="81"/>
      <c r="AI246" s="81"/>
      <c r="AJ246" s="81"/>
      <c r="AK246" s="81"/>
      <c r="AL246" s="81"/>
      <c r="AM246" s="81"/>
      <c r="AN246" s="81"/>
      <c r="AO246" s="81"/>
      <c r="AP246" s="81"/>
      <c r="AQ246" s="81"/>
      <c r="AR246" s="81"/>
      <c r="AS246" s="81"/>
      <c r="AT246" s="81"/>
      <c r="AU246" s="81"/>
      <c r="AV246" s="81"/>
      <c r="AW246" s="81"/>
      <c r="AX246" s="81"/>
      <c r="AY246" s="81"/>
      <c r="AZ246" s="81"/>
      <c r="BA246" s="81"/>
      <c r="BB246" s="81"/>
      <c r="BC246" s="81"/>
      <c r="BD246" s="81"/>
      <c r="BE246" s="81"/>
      <c r="BF246" s="81"/>
      <c r="BG246" s="81"/>
      <c r="BH246" s="81"/>
      <c r="BI246" s="81"/>
      <c r="BJ246" s="81"/>
      <c r="BK246" s="81"/>
      <c r="BL246" s="81"/>
      <c r="BM246" s="81"/>
      <c r="BN246" s="81"/>
      <c r="BO246" s="81"/>
      <c r="BP246" s="81"/>
      <c r="BQ246" s="81"/>
      <c r="BR246" s="81"/>
      <c r="BS246" s="81"/>
      <c r="BT246" s="81"/>
      <c r="BU246" s="81"/>
      <c r="BV246" s="81"/>
      <c r="BW246" s="81"/>
      <c r="BX246" s="81"/>
      <c r="BY246" s="81"/>
      <c r="BZ246" s="81"/>
      <c r="CA246" s="81"/>
      <c r="CB246" s="81"/>
      <c r="CC246" s="81"/>
      <c r="CD246" s="81"/>
      <c r="CE246" s="81"/>
      <c r="CF246" s="81"/>
      <c r="CG246" s="81"/>
      <c r="CH246" s="81"/>
      <c r="CI246" s="81"/>
      <c r="CJ246" s="81"/>
      <c r="CK246" s="81"/>
      <c r="CL246" s="81"/>
      <c r="CM246" s="81"/>
      <c r="CN246" s="81"/>
      <c r="CO246" s="81"/>
      <c r="CP246" s="81"/>
      <c r="CQ246" s="81"/>
      <c r="CR246" s="81"/>
      <c r="CS246" s="81"/>
      <c r="CT246" s="81"/>
      <c r="CU246" s="81"/>
      <c r="CV246" s="81"/>
      <c r="CW246" s="81"/>
      <c r="CX246" s="81"/>
      <c r="CY246" s="81"/>
      <c r="CZ246" s="81"/>
      <c r="DA246" s="81"/>
      <c r="DB246" s="81"/>
      <c r="DC246" s="81"/>
      <c r="DD246" s="81"/>
      <c r="DE246" s="81"/>
      <c r="DF246" s="81"/>
      <c r="DG246" s="81"/>
      <c r="DH246" s="81"/>
      <c r="DI246" s="81"/>
      <c r="DJ246" s="81"/>
      <c r="DK246" s="81"/>
      <c r="DL246" s="81"/>
      <c r="DM246" s="81"/>
      <c r="DN246" s="81"/>
      <c r="DO246" s="81"/>
      <c r="DP246" s="81"/>
      <c r="DQ246" s="81"/>
      <c r="DR246" s="81"/>
      <c r="DS246" s="81"/>
      <c r="DT246" s="81"/>
      <c r="DU246" s="81"/>
      <c r="DV246" s="81"/>
      <c r="DW246" s="81"/>
      <c r="DX246" s="81"/>
      <c r="DY246" s="81"/>
      <c r="DZ246" s="81"/>
      <c r="EA246" s="81"/>
      <c r="EB246" s="81"/>
      <c r="EC246" s="81"/>
      <c r="ED246" s="81"/>
      <c r="EE246" s="81"/>
      <c r="EF246" s="81"/>
      <c r="EG246" s="81"/>
      <c r="EH246" s="81"/>
      <c r="EI246" s="81"/>
      <c r="EJ246" s="81"/>
      <c r="EK246" s="81"/>
      <c r="EL246" s="81"/>
      <c r="EM246" s="81"/>
      <c r="EN246" s="81"/>
      <c r="EO246" s="81"/>
      <c r="EP246" s="81"/>
      <c r="EQ246" s="81"/>
      <c r="ER246" s="81"/>
      <c r="ES246" s="81"/>
      <c r="ET246" s="81"/>
      <c r="EU246" s="81"/>
      <c r="EV246" s="81"/>
      <c r="EW246" s="81"/>
      <c r="EX246" s="81"/>
      <c r="EY246" s="81"/>
      <c r="EZ246" s="81"/>
      <c r="FA246" s="81"/>
      <c r="FB246" s="81"/>
      <c r="FC246" s="81"/>
      <c r="FD246" s="81"/>
      <c r="FE246" s="81"/>
      <c r="FF246" s="81"/>
      <c r="FG246" s="81"/>
      <c r="FH246" s="81"/>
      <c r="FI246" s="81"/>
      <c r="FJ246" s="81"/>
      <c r="FK246" s="81"/>
      <c r="FL246" s="81"/>
      <c r="FM246" s="81"/>
      <c r="FN246" s="81"/>
      <c r="FO246" s="81"/>
      <c r="FP246" s="81"/>
      <c r="FQ246" s="81"/>
      <c r="FR246" s="81"/>
      <c r="FS246" s="81"/>
      <c r="FT246" s="81"/>
      <c r="FU246" s="81"/>
      <c r="FV246" s="81"/>
      <c r="FW246" s="81"/>
      <c r="FX246" s="81"/>
      <c r="FY246" s="81"/>
      <c r="FZ246" s="81"/>
      <c r="GA246" s="81"/>
      <c r="GB246" s="81"/>
      <c r="GC246" s="81"/>
      <c r="GD246" s="81"/>
      <c r="GE246" s="81"/>
      <c r="GF246" s="81"/>
      <c r="GG246" s="81"/>
      <c r="GH246" s="81"/>
      <c r="GI246" s="81"/>
      <c r="GJ246" s="81"/>
      <c r="GK246" s="81"/>
      <c r="GL246" s="81"/>
      <c r="GM246" s="81"/>
      <c r="GN246" s="81"/>
      <c r="GO246" s="81"/>
      <c r="GP246" s="81"/>
      <c r="GQ246" s="81"/>
      <c r="GR246" s="81"/>
      <c r="GS246" s="81"/>
      <c r="GT246" s="81"/>
      <c r="GU246" s="81"/>
      <c r="GV246" s="81"/>
      <c r="GW246" s="81"/>
      <c r="GX246" s="81"/>
      <c r="GY246" s="81"/>
      <c r="GZ246" s="81"/>
      <c r="HA246" s="81"/>
      <c r="HB246" s="81"/>
      <c r="HC246" s="81"/>
      <c r="HD246" s="81"/>
      <c r="HE246" s="81"/>
      <c r="HF246" s="81"/>
      <c r="HG246" s="81"/>
      <c r="HH246" s="81"/>
      <c r="HI246" s="81"/>
      <c r="HJ246" s="81"/>
      <c r="HK246" s="81"/>
      <c r="HL246" s="81"/>
      <c r="HM246" s="81"/>
      <c r="HN246" s="81"/>
      <c r="HO246" s="81"/>
      <c r="HP246" s="81"/>
      <c r="HQ246" s="81"/>
      <c r="HR246" s="81"/>
      <c r="HS246" s="81"/>
      <c r="HT246" s="81"/>
      <c r="HU246" s="81"/>
      <c r="HV246" s="81"/>
      <c r="HW246" s="81"/>
      <c r="HX246" s="81"/>
      <c r="HY246" s="81"/>
      <c r="HZ246" s="81"/>
      <c r="IA246" s="81"/>
      <c r="IB246" s="81"/>
      <c r="IC246" s="81"/>
      <c r="ID246" s="81"/>
      <c r="IE246" s="81"/>
      <c r="IF246" s="81"/>
      <c r="IG246" s="81"/>
      <c r="IH246" s="81"/>
      <c r="II246" s="81"/>
      <c r="IJ246" s="81"/>
    </row>
    <row r="247" spans="1:244" ht="25" x14ac:dyDescent="0.25">
      <c r="A247" s="54"/>
      <c r="B247" s="44" t="s">
        <v>302</v>
      </c>
      <c r="C247" s="41" t="s">
        <v>53</v>
      </c>
      <c r="D247" s="41">
        <f>2</f>
        <v>2</v>
      </c>
      <c r="E247" s="45">
        <f>ROUND(35.5*2/1000*15,2)</f>
        <v>1.07</v>
      </c>
      <c r="F247" s="55">
        <f t="shared" si="57"/>
        <v>2.14</v>
      </c>
      <c r="G247" s="41" t="s">
        <v>53</v>
      </c>
      <c r="H247" s="41">
        <v>0</v>
      </c>
      <c r="I247" s="41">
        <v>0</v>
      </c>
      <c r="J247" s="41">
        <f t="shared" si="58"/>
        <v>0</v>
      </c>
      <c r="K247" s="41">
        <f t="shared" si="58"/>
        <v>0</v>
      </c>
      <c r="L247" s="41">
        <f t="shared" si="59"/>
        <v>0</v>
      </c>
      <c r="M247" s="81"/>
      <c r="N247" s="81"/>
      <c r="O247" s="81"/>
      <c r="P247" s="81"/>
      <c r="Q247" s="81"/>
      <c r="R247" s="81"/>
      <c r="S247" s="81"/>
      <c r="T247" s="81"/>
      <c r="U247" s="81"/>
      <c r="V247" s="81"/>
      <c r="W247" s="81"/>
      <c r="X247" s="81"/>
      <c r="Y247" s="81"/>
      <c r="Z247" s="81"/>
      <c r="AA247" s="81"/>
      <c r="AB247" s="81"/>
      <c r="AC247" s="81"/>
      <c r="AD247" s="81"/>
      <c r="AE247" s="81"/>
      <c r="AF247" s="81"/>
      <c r="AG247" s="81"/>
      <c r="AH247" s="81"/>
      <c r="AI247" s="81"/>
      <c r="AJ247" s="81"/>
      <c r="AK247" s="81"/>
      <c r="AL247" s="81"/>
      <c r="AM247" s="81"/>
      <c r="AN247" s="81"/>
      <c r="AO247" s="81"/>
      <c r="AP247" s="81"/>
      <c r="AQ247" s="81"/>
      <c r="AR247" s="81"/>
      <c r="AS247" s="81"/>
      <c r="AT247" s="81"/>
      <c r="AU247" s="81"/>
      <c r="AV247" s="81"/>
      <c r="AW247" s="81"/>
      <c r="AX247" s="81"/>
      <c r="AY247" s="81"/>
      <c r="AZ247" s="81"/>
      <c r="BA247" s="81"/>
      <c r="BB247" s="81"/>
      <c r="BC247" s="81"/>
      <c r="BD247" s="81"/>
      <c r="BE247" s="81"/>
      <c r="BF247" s="81"/>
      <c r="BG247" s="81"/>
      <c r="BH247" s="81"/>
      <c r="BI247" s="81"/>
      <c r="BJ247" s="81"/>
      <c r="BK247" s="81"/>
      <c r="BL247" s="81"/>
      <c r="BM247" s="81"/>
      <c r="BN247" s="81"/>
      <c r="BO247" s="81"/>
      <c r="BP247" s="81"/>
      <c r="BQ247" s="81"/>
      <c r="BR247" s="81"/>
      <c r="BS247" s="81"/>
      <c r="BT247" s="81"/>
      <c r="BU247" s="81"/>
      <c r="BV247" s="81"/>
      <c r="BW247" s="81"/>
      <c r="BX247" s="81"/>
      <c r="BY247" s="81"/>
      <c r="BZ247" s="81"/>
      <c r="CA247" s="81"/>
      <c r="CB247" s="81"/>
      <c r="CC247" s="81"/>
      <c r="CD247" s="81"/>
      <c r="CE247" s="81"/>
      <c r="CF247" s="81"/>
      <c r="CG247" s="81"/>
      <c r="CH247" s="81"/>
      <c r="CI247" s="81"/>
      <c r="CJ247" s="81"/>
      <c r="CK247" s="81"/>
      <c r="CL247" s="81"/>
      <c r="CM247" s="81"/>
      <c r="CN247" s="81"/>
      <c r="CO247" s="81"/>
      <c r="CP247" s="81"/>
      <c r="CQ247" s="81"/>
      <c r="CR247" s="81"/>
      <c r="CS247" s="81"/>
      <c r="CT247" s="81"/>
      <c r="CU247" s="81"/>
      <c r="CV247" s="81"/>
      <c r="CW247" s="81"/>
      <c r="CX247" s="81"/>
      <c r="CY247" s="81"/>
      <c r="CZ247" s="81"/>
      <c r="DA247" s="81"/>
      <c r="DB247" s="81"/>
      <c r="DC247" s="81"/>
      <c r="DD247" s="81"/>
      <c r="DE247" s="81"/>
      <c r="DF247" s="81"/>
      <c r="DG247" s="81"/>
      <c r="DH247" s="81"/>
      <c r="DI247" s="81"/>
      <c r="DJ247" s="81"/>
      <c r="DK247" s="81"/>
      <c r="DL247" s="81"/>
      <c r="DM247" s="81"/>
      <c r="DN247" s="81"/>
      <c r="DO247" s="81"/>
      <c r="DP247" s="81"/>
      <c r="DQ247" s="81"/>
      <c r="DR247" s="81"/>
      <c r="DS247" s="81"/>
      <c r="DT247" s="81"/>
      <c r="DU247" s="81"/>
      <c r="DV247" s="81"/>
      <c r="DW247" s="81"/>
      <c r="DX247" s="81"/>
      <c r="DY247" s="81"/>
      <c r="DZ247" s="81"/>
      <c r="EA247" s="81"/>
      <c r="EB247" s="81"/>
      <c r="EC247" s="81"/>
      <c r="ED247" s="81"/>
      <c r="EE247" s="81"/>
      <c r="EF247" s="81"/>
      <c r="EG247" s="81"/>
      <c r="EH247" s="81"/>
      <c r="EI247" s="81"/>
      <c r="EJ247" s="81"/>
      <c r="EK247" s="81"/>
      <c r="EL247" s="81"/>
      <c r="EM247" s="81"/>
      <c r="EN247" s="81"/>
      <c r="EO247" s="81"/>
      <c r="EP247" s="81"/>
      <c r="EQ247" s="81"/>
      <c r="ER247" s="81"/>
      <c r="ES247" s="81"/>
      <c r="ET247" s="81"/>
      <c r="EU247" s="81"/>
      <c r="EV247" s="81"/>
      <c r="EW247" s="81"/>
      <c r="EX247" s="81"/>
      <c r="EY247" s="81"/>
      <c r="EZ247" s="81"/>
      <c r="FA247" s="81"/>
      <c r="FB247" s="81"/>
      <c r="FC247" s="81"/>
      <c r="FD247" s="81"/>
      <c r="FE247" s="81"/>
      <c r="FF247" s="81"/>
      <c r="FG247" s="81"/>
      <c r="FH247" s="81"/>
      <c r="FI247" s="81"/>
      <c r="FJ247" s="81"/>
      <c r="FK247" s="81"/>
      <c r="FL247" s="81"/>
      <c r="FM247" s="81"/>
      <c r="FN247" s="81"/>
      <c r="FO247" s="81"/>
      <c r="FP247" s="81"/>
      <c r="FQ247" s="81"/>
      <c r="FR247" s="81"/>
      <c r="FS247" s="81"/>
      <c r="FT247" s="81"/>
      <c r="FU247" s="81"/>
      <c r="FV247" s="81"/>
      <c r="FW247" s="81"/>
      <c r="FX247" s="81"/>
      <c r="FY247" s="81"/>
      <c r="FZ247" s="81"/>
      <c r="GA247" s="81"/>
      <c r="GB247" s="81"/>
      <c r="GC247" s="81"/>
      <c r="GD247" s="81"/>
      <c r="GE247" s="81"/>
      <c r="GF247" s="81"/>
      <c r="GG247" s="81"/>
      <c r="GH247" s="81"/>
      <c r="GI247" s="81"/>
      <c r="GJ247" s="81"/>
      <c r="GK247" s="81"/>
      <c r="GL247" s="81"/>
      <c r="GM247" s="81"/>
      <c r="GN247" s="81"/>
      <c r="GO247" s="81"/>
      <c r="GP247" s="81"/>
      <c r="GQ247" s="81"/>
      <c r="GR247" s="81"/>
      <c r="GS247" s="81"/>
      <c r="GT247" s="81"/>
      <c r="GU247" s="81"/>
      <c r="GV247" s="81"/>
      <c r="GW247" s="81"/>
      <c r="GX247" s="81"/>
      <c r="GY247" s="81"/>
      <c r="GZ247" s="81"/>
      <c r="HA247" s="81"/>
      <c r="HB247" s="81"/>
      <c r="HC247" s="81"/>
      <c r="HD247" s="81"/>
      <c r="HE247" s="81"/>
      <c r="HF247" s="81"/>
      <c r="HG247" s="81"/>
      <c r="HH247" s="81"/>
      <c r="HI247" s="81"/>
      <c r="HJ247" s="81"/>
      <c r="HK247" s="81"/>
      <c r="HL247" s="81"/>
      <c r="HM247" s="81"/>
      <c r="HN247" s="81"/>
      <c r="HO247" s="81"/>
      <c r="HP247" s="81"/>
      <c r="HQ247" s="81"/>
      <c r="HR247" s="81"/>
      <c r="HS247" s="81"/>
      <c r="HT247" s="81"/>
      <c r="HU247" s="81"/>
      <c r="HV247" s="81"/>
      <c r="HW247" s="81"/>
      <c r="HX247" s="81"/>
      <c r="HY247" s="81"/>
      <c r="HZ247" s="81"/>
      <c r="IA247" s="81"/>
      <c r="IB247" s="81"/>
      <c r="IC247" s="81"/>
      <c r="ID247" s="81"/>
      <c r="IE247" s="81"/>
      <c r="IF247" s="81"/>
      <c r="IG247" s="81"/>
      <c r="IH247" s="81"/>
      <c r="II247" s="81"/>
      <c r="IJ247" s="81"/>
    </row>
    <row r="248" spans="1:244" ht="25" x14ac:dyDescent="0.25">
      <c r="A248" s="54"/>
      <c r="B248" s="44" t="s">
        <v>307</v>
      </c>
      <c r="C248" s="41" t="s">
        <v>53</v>
      </c>
      <c r="D248" s="41">
        <f>1</f>
        <v>1</v>
      </c>
      <c r="E248" s="45">
        <f>ROUND(68.5*2/1000*33.1,2)</f>
        <v>4.53</v>
      </c>
      <c r="F248" s="55">
        <f t="shared" si="57"/>
        <v>4.53</v>
      </c>
      <c r="G248" s="41" t="s">
        <v>53</v>
      </c>
      <c r="H248" s="41">
        <v>0</v>
      </c>
      <c r="I248" s="41">
        <v>0</v>
      </c>
      <c r="J248" s="41">
        <f t="shared" si="58"/>
        <v>0</v>
      </c>
      <c r="K248" s="41">
        <f t="shared" si="58"/>
        <v>0</v>
      </c>
      <c r="L248" s="41">
        <f t="shared" si="59"/>
        <v>0</v>
      </c>
      <c r="M248" s="81"/>
      <c r="N248" s="81"/>
      <c r="O248" s="81"/>
      <c r="P248" s="81"/>
      <c r="Q248" s="81"/>
      <c r="R248" s="81"/>
      <c r="S248" s="81"/>
      <c r="T248" s="81"/>
      <c r="U248" s="81"/>
      <c r="V248" s="81"/>
      <c r="W248" s="81"/>
      <c r="X248" s="81"/>
      <c r="Y248" s="81"/>
      <c r="Z248" s="81"/>
      <c r="AA248" s="81"/>
      <c r="AB248" s="81"/>
      <c r="AC248" s="81"/>
      <c r="AD248" s="81"/>
      <c r="AE248" s="81"/>
      <c r="AF248" s="81"/>
      <c r="AG248" s="81"/>
      <c r="AH248" s="81"/>
      <c r="AI248" s="81"/>
      <c r="AJ248" s="81"/>
      <c r="AK248" s="81"/>
      <c r="AL248" s="81"/>
      <c r="AM248" s="81"/>
      <c r="AN248" s="81"/>
      <c r="AO248" s="81"/>
      <c r="AP248" s="81"/>
      <c r="AQ248" s="81"/>
      <c r="AR248" s="81"/>
      <c r="AS248" s="81"/>
      <c r="AT248" s="81"/>
      <c r="AU248" s="81"/>
      <c r="AV248" s="81"/>
      <c r="AW248" s="81"/>
      <c r="AX248" s="81"/>
      <c r="AY248" s="81"/>
      <c r="AZ248" s="81"/>
      <c r="BA248" s="81"/>
      <c r="BB248" s="81"/>
      <c r="BC248" s="81"/>
      <c r="BD248" s="81"/>
      <c r="BE248" s="81"/>
      <c r="BF248" s="81"/>
      <c r="BG248" s="81"/>
      <c r="BH248" s="81"/>
      <c r="BI248" s="81"/>
      <c r="BJ248" s="81"/>
      <c r="BK248" s="81"/>
      <c r="BL248" s="81"/>
      <c r="BM248" s="81"/>
      <c r="BN248" s="81"/>
      <c r="BO248" s="81"/>
      <c r="BP248" s="81"/>
      <c r="BQ248" s="81"/>
      <c r="BR248" s="81"/>
      <c r="BS248" s="81"/>
      <c r="BT248" s="81"/>
      <c r="BU248" s="81"/>
      <c r="BV248" s="81"/>
      <c r="BW248" s="81"/>
      <c r="BX248" s="81"/>
      <c r="BY248" s="81"/>
      <c r="BZ248" s="81"/>
      <c r="CA248" s="81"/>
      <c r="CB248" s="81"/>
      <c r="CC248" s="81"/>
      <c r="CD248" s="81"/>
      <c r="CE248" s="81"/>
      <c r="CF248" s="81"/>
      <c r="CG248" s="81"/>
      <c r="CH248" s="81"/>
      <c r="CI248" s="81"/>
      <c r="CJ248" s="81"/>
      <c r="CK248" s="81"/>
      <c r="CL248" s="81"/>
      <c r="CM248" s="81"/>
      <c r="CN248" s="81"/>
      <c r="CO248" s="81"/>
      <c r="CP248" s="81"/>
      <c r="CQ248" s="81"/>
      <c r="CR248" s="81"/>
      <c r="CS248" s="81"/>
      <c r="CT248" s="81"/>
      <c r="CU248" s="81"/>
      <c r="CV248" s="81"/>
      <c r="CW248" s="81"/>
      <c r="CX248" s="81"/>
      <c r="CY248" s="81"/>
      <c r="CZ248" s="81"/>
      <c r="DA248" s="81"/>
      <c r="DB248" s="81"/>
      <c r="DC248" s="81"/>
      <c r="DD248" s="81"/>
      <c r="DE248" s="81"/>
      <c r="DF248" s="81"/>
      <c r="DG248" s="81"/>
      <c r="DH248" s="81"/>
      <c r="DI248" s="81"/>
      <c r="DJ248" s="81"/>
      <c r="DK248" s="81"/>
      <c r="DL248" s="81"/>
      <c r="DM248" s="81"/>
      <c r="DN248" s="81"/>
      <c r="DO248" s="81"/>
      <c r="DP248" s="81"/>
      <c r="DQ248" s="81"/>
      <c r="DR248" s="81"/>
      <c r="DS248" s="81"/>
      <c r="DT248" s="81"/>
      <c r="DU248" s="81"/>
      <c r="DV248" s="81"/>
      <c r="DW248" s="81"/>
      <c r="DX248" s="81"/>
      <c r="DY248" s="81"/>
      <c r="DZ248" s="81"/>
      <c r="EA248" s="81"/>
      <c r="EB248" s="81"/>
      <c r="EC248" s="81"/>
      <c r="ED248" s="81"/>
      <c r="EE248" s="81"/>
      <c r="EF248" s="81"/>
      <c r="EG248" s="81"/>
      <c r="EH248" s="81"/>
      <c r="EI248" s="81"/>
      <c r="EJ248" s="81"/>
      <c r="EK248" s="81"/>
      <c r="EL248" s="81"/>
      <c r="EM248" s="81"/>
      <c r="EN248" s="81"/>
      <c r="EO248" s="81"/>
      <c r="EP248" s="81"/>
      <c r="EQ248" s="81"/>
      <c r="ER248" s="81"/>
      <c r="ES248" s="81"/>
      <c r="ET248" s="81"/>
      <c r="EU248" s="81"/>
      <c r="EV248" s="81"/>
      <c r="EW248" s="81"/>
      <c r="EX248" s="81"/>
      <c r="EY248" s="81"/>
      <c r="EZ248" s="81"/>
      <c r="FA248" s="81"/>
      <c r="FB248" s="81"/>
      <c r="FC248" s="81"/>
      <c r="FD248" s="81"/>
      <c r="FE248" s="81"/>
      <c r="FF248" s="81"/>
      <c r="FG248" s="81"/>
      <c r="FH248" s="81"/>
      <c r="FI248" s="81"/>
      <c r="FJ248" s="81"/>
      <c r="FK248" s="81"/>
      <c r="FL248" s="81"/>
      <c r="FM248" s="81"/>
      <c r="FN248" s="81"/>
      <c r="FO248" s="81"/>
      <c r="FP248" s="81"/>
      <c r="FQ248" s="81"/>
      <c r="FR248" s="81"/>
      <c r="FS248" s="81"/>
      <c r="FT248" s="81"/>
      <c r="FU248" s="81"/>
      <c r="FV248" s="81"/>
      <c r="FW248" s="81"/>
      <c r="FX248" s="81"/>
      <c r="FY248" s="81"/>
      <c r="FZ248" s="81"/>
      <c r="GA248" s="81"/>
      <c r="GB248" s="81"/>
      <c r="GC248" s="81"/>
      <c r="GD248" s="81"/>
      <c r="GE248" s="81"/>
      <c r="GF248" s="81"/>
      <c r="GG248" s="81"/>
      <c r="GH248" s="81"/>
      <c r="GI248" s="81"/>
      <c r="GJ248" s="81"/>
      <c r="GK248" s="81"/>
      <c r="GL248" s="81"/>
      <c r="GM248" s="81"/>
      <c r="GN248" s="81"/>
      <c r="GO248" s="81"/>
      <c r="GP248" s="81"/>
      <c r="GQ248" s="81"/>
      <c r="GR248" s="81"/>
      <c r="GS248" s="81"/>
      <c r="GT248" s="81"/>
      <c r="GU248" s="81"/>
      <c r="GV248" s="81"/>
      <c r="GW248" s="81"/>
      <c r="GX248" s="81"/>
      <c r="GY248" s="81"/>
      <c r="GZ248" s="81"/>
      <c r="HA248" s="81"/>
      <c r="HB248" s="81"/>
      <c r="HC248" s="81"/>
      <c r="HD248" s="81"/>
      <c r="HE248" s="81"/>
      <c r="HF248" s="81"/>
      <c r="HG248" s="81"/>
      <c r="HH248" s="81"/>
      <c r="HI248" s="81"/>
      <c r="HJ248" s="81"/>
      <c r="HK248" s="81"/>
      <c r="HL248" s="81"/>
      <c r="HM248" s="81"/>
      <c r="HN248" s="81"/>
      <c r="HO248" s="81"/>
      <c r="HP248" s="81"/>
      <c r="HQ248" s="81"/>
      <c r="HR248" s="81"/>
      <c r="HS248" s="81"/>
      <c r="HT248" s="81"/>
      <c r="HU248" s="81"/>
      <c r="HV248" s="81"/>
      <c r="HW248" s="81"/>
      <c r="HX248" s="81"/>
      <c r="HY248" s="81"/>
      <c r="HZ248" s="81"/>
      <c r="IA248" s="81"/>
      <c r="IB248" s="81"/>
      <c r="IC248" s="81"/>
      <c r="ID248" s="81"/>
      <c r="IE248" s="81"/>
      <c r="IF248" s="81"/>
      <c r="IG248" s="81"/>
      <c r="IH248" s="81"/>
      <c r="II248" s="81"/>
      <c r="IJ248" s="81"/>
    </row>
    <row r="249" spans="1:244" s="43" customFormat="1" ht="25" x14ac:dyDescent="0.25">
      <c r="A249" s="54"/>
      <c r="B249" s="44" t="s">
        <v>140</v>
      </c>
      <c r="C249" s="41" t="s">
        <v>53</v>
      </c>
      <c r="D249" s="41">
        <v>1</v>
      </c>
      <c r="E249" s="45">
        <v>0.78</v>
      </c>
      <c r="F249" s="55">
        <f>D249*E249</f>
        <v>0.78</v>
      </c>
      <c r="G249" s="41" t="s">
        <v>53</v>
      </c>
      <c r="H249" s="41">
        <v>0</v>
      </c>
      <c r="I249" s="41">
        <v>0</v>
      </c>
      <c r="J249" s="41">
        <f>$D249*H249</f>
        <v>0</v>
      </c>
      <c r="K249" s="41">
        <f t="shared" si="58"/>
        <v>0</v>
      </c>
      <c r="L249" s="41">
        <f>J249+K249</f>
        <v>0</v>
      </c>
      <c r="M249" s="81"/>
      <c r="N249" s="81"/>
      <c r="O249" s="81"/>
      <c r="P249" s="81"/>
      <c r="Q249" s="81"/>
      <c r="R249" s="81"/>
      <c r="S249" s="81"/>
      <c r="T249" s="81"/>
      <c r="U249" s="81"/>
      <c r="V249" s="81"/>
      <c r="W249" s="81"/>
      <c r="X249" s="81"/>
      <c r="Y249" s="81"/>
      <c r="Z249" s="81"/>
      <c r="AA249" s="81"/>
      <c r="AB249" s="81"/>
      <c r="AC249" s="81"/>
      <c r="AD249" s="81"/>
      <c r="AE249" s="81"/>
      <c r="AF249" s="81"/>
      <c r="AG249" s="81"/>
      <c r="AH249" s="81"/>
      <c r="AI249" s="81"/>
      <c r="AJ249" s="81"/>
      <c r="AK249" s="81"/>
      <c r="AL249" s="81"/>
      <c r="AM249" s="81"/>
      <c r="AN249" s="81"/>
      <c r="AO249" s="81"/>
      <c r="AP249" s="81"/>
      <c r="AQ249" s="81"/>
      <c r="AR249" s="81"/>
      <c r="AS249" s="81"/>
      <c r="AT249" s="81"/>
      <c r="AU249" s="81"/>
      <c r="AV249" s="81"/>
      <c r="AW249" s="81"/>
      <c r="AX249" s="81"/>
      <c r="AY249" s="81"/>
      <c r="AZ249" s="81"/>
      <c r="BA249" s="81"/>
      <c r="BB249" s="81"/>
      <c r="BC249" s="81"/>
      <c r="BD249" s="81"/>
      <c r="BE249" s="81"/>
      <c r="BF249" s="81"/>
      <c r="BG249" s="81"/>
      <c r="BH249" s="81"/>
      <c r="BI249" s="81"/>
      <c r="BJ249" s="81"/>
      <c r="BK249" s="81"/>
      <c r="BL249" s="81"/>
      <c r="BM249" s="81"/>
      <c r="BN249" s="81"/>
      <c r="BO249" s="81"/>
      <c r="BP249" s="81"/>
      <c r="BQ249" s="81"/>
      <c r="BR249" s="81"/>
      <c r="BS249" s="81"/>
      <c r="BT249" s="81"/>
      <c r="BU249" s="81"/>
      <c r="BV249" s="81"/>
      <c r="BW249" s="81"/>
      <c r="BX249" s="81"/>
      <c r="BY249" s="81"/>
      <c r="BZ249" s="81"/>
      <c r="CA249" s="81"/>
      <c r="CB249" s="81"/>
      <c r="CC249" s="81"/>
      <c r="CD249" s="81"/>
      <c r="CE249" s="81"/>
      <c r="CF249" s="81"/>
      <c r="CG249" s="81"/>
      <c r="CH249" s="81"/>
      <c r="CI249" s="81"/>
      <c r="CJ249" s="81"/>
      <c r="CK249" s="81"/>
      <c r="CL249" s="81"/>
      <c r="CM249" s="81"/>
      <c r="CN249" s="81"/>
      <c r="CO249" s="81"/>
      <c r="CP249" s="81"/>
      <c r="CQ249" s="81"/>
      <c r="CR249" s="81"/>
      <c r="CS249" s="81"/>
      <c r="CT249" s="81"/>
      <c r="CU249" s="81"/>
      <c r="CV249" s="81"/>
      <c r="CW249" s="81"/>
      <c r="CX249" s="81"/>
      <c r="CY249" s="81"/>
      <c r="CZ249" s="81"/>
      <c r="DA249" s="81"/>
      <c r="DB249" s="81"/>
      <c r="DC249" s="81"/>
      <c r="DD249" s="81"/>
      <c r="DE249" s="81"/>
      <c r="DF249" s="81"/>
      <c r="DG249" s="81"/>
      <c r="DH249" s="81"/>
      <c r="DI249" s="81"/>
      <c r="DJ249" s="81"/>
      <c r="DK249" s="81"/>
      <c r="DL249" s="81"/>
      <c r="DM249" s="81"/>
      <c r="DN249" s="81"/>
      <c r="DO249" s="81"/>
      <c r="DP249" s="81"/>
      <c r="DQ249" s="81"/>
      <c r="DR249" s="81"/>
      <c r="DS249" s="81"/>
      <c r="DT249" s="81"/>
      <c r="DU249" s="81"/>
      <c r="DV249" s="81"/>
      <c r="DW249" s="81"/>
      <c r="DX249" s="81"/>
      <c r="DY249" s="81"/>
      <c r="DZ249" s="81"/>
      <c r="EA249" s="81"/>
      <c r="EB249" s="81"/>
      <c r="EC249" s="81"/>
      <c r="ED249" s="81"/>
      <c r="EE249" s="81"/>
      <c r="EF249" s="81"/>
      <c r="EG249" s="81"/>
      <c r="EH249" s="81"/>
      <c r="EI249" s="81"/>
      <c r="EJ249" s="81"/>
      <c r="EK249" s="81"/>
      <c r="EL249" s="81"/>
      <c r="EM249" s="81"/>
      <c r="EN249" s="81"/>
      <c r="EO249" s="81"/>
      <c r="EP249" s="81"/>
      <c r="EQ249" s="81"/>
      <c r="ER249" s="81"/>
      <c r="ES249" s="81"/>
      <c r="ET249" s="81"/>
      <c r="EU249" s="81"/>
      <c r="EV249" s="81"/>
      <c r="EW249" s="81"/>
      <c r="EX249" s="81"/>
      <c r="EY249" s="81"/>
      <c r="EZ249" s="81"/>
      <c r="FA249" s="81"/>
      <c r="FB249" s="81"/>
      <c r="FC249" s="81"/>
      <c r="FD249" s="81"/>
      <c r="FE249" s="81"/>
      <c r="FF249" s="81"/>
      <c r="FG249" s="81"/>
      <c r="FH249" s="81"/>
      <c r="FI249" s="81"/>
      <c r="FJ249" s="81"/>
      <c r="FK249" s="81"/>
      <c r="FL249" s="81"/>
      <c r="FM249" s="81"/>
      <c r="FN249" s="81"/>
      <c r="FO249" s="81"/>
      <c r="FP249" s="81"/>
      <c r="FQ249" s="81"/>
      <c r="FR249" s="81"/>
      <c r="FS249" s="81"/>
      <c r="FT249" s="81"/>
      <c r="FU249" s="81"/>
      <c r="FV249" s="81"/>
      <c r="FW249" s="81"/>
      <c r="FX249" s="81"/>
      <c r="FY249" s="81"/>
      <c r="FZ249" s="81"/>
      <c r="GA249" s="81"/>
      <c r="GB249" s="81"/>
      <c r="GC249" s="81"/>
      <c r="GD249" s="81"/>
      <c r="GE249" s="81"/>
      <c r="GF249" s="81"/>
      <c r="GG249" s="81"/>
      <c r="GH249" s="81"/>
      <c r="GI249" s="81"/>
      <c r="GJ249" s="81"/>
      <c r="GK249" s="81"/>
      <c r="GL249" s="81"/>
      <c r="GM249" s="81"/>
      <c r="GN249" s="81"/>
      <c r="GO249" s="81"/>
      <c r="GP249" s="81"/>
      <c r="GQ249" s="81"/>
      <c r="GR249" s="81"/>
      <c r="GS249" s="81"/>
      <c r="GT249" s="81"/>
      <c r="GU249" s="81"/>
      <c r="GV249" s="81"/>
      <c r="GW249" s="81"/>
      <c r="GX249" s="81"/>
      <c r="GY249" s="81"/>
      <c r="GZ249" s="81"/>
      <c r="HA249" s="81"/>
      <c r="HB249" s="81"/>
      <c r="HC249" s="81"/>
      <c r="HD249" s="81"/>
      <c r="HE249" s="81"/>
      <c r="HF249" s="81"/>
      <c r="HG249" s="81"/>
      <c r="HH249" s="81"/>
      <c r="HI249" s="81"/>
      <c r="HJ249" s="81"/>
      <c r="HK249" s="81"/>
      <c r="HL249" s="81"/>
      <c r="HM249" s="81"/>
      <c r="HN249" s="81"/>
      <c r="HO249" s="81"/>
      <c r="HP249" s="81"/>
      <c r="HQ249" s="81"/>
      <c r="HR249" s="81"/>
      <c r="HS249" s="81"/>
      <c r="HT249" s="81"/>
      <c r="HU249" s="81"/>
      <c r="HV249" s="81"/>
      <c r="HW249" s="81"/>
      <c r="HX249" s="81"/>
      <c r="HY249" s="81"/>
      <c r="HZ249" s="81"/>
      <c r="IA249" s="81"/>
      <c r="IB249" s="81"/>
      <c r="IC249" s="81"/>
      <c r="ID249" s="81"/>
      <c r="IE249" s="81"/>
      <c r="IF249" s="81"/>
      <c r="IG249" s="81"/>
      <c r="IH249" s="81"/>
      <c r="II249" s="81"/>
      <c r="IJ249" s="81"/>
    </row>
    <row r="250" spans="1:244" ht="37.5" x14ac:dyDescent="0.25">
      <c r="A250" s="54"/>
      <c r="B250" s="44" t="s">
        <v>141</v>
      </c>
      <c r="C250" s="41" t="s">
        <v>53</v>
      </c>
      <c r="D250" s="41">
        <v>1</v>
      </c>
      <c r="E250" s="45">
        <v>0.78</v>
      </c>
      <c r="F250" s="55">
        <f>D250*E250</f>
        <v>0.78</v>
      </c>
      <c r="G250" s="41" t="s">
        <v>53</v>
      </c>
      <c r="H250" s="41">
        <v>0</v>
      </c>
      <c r="I250" s="41">
        <v>0</v>
      </c>
      <c r="J250" s="41">
        <f t="shared" si="58"/>
        <v>0</v>
      </c>
      <c r="K250" s="41">
        <f t="shared" si="58"/>
        <v>0</v>
      </c>
      <c r="L250" s="41">
        <f t="shared" si="59"/>
        <v>0</v>
      </c>
      <c r="M250" s="81"/>
      <c r="N250" s="81"/>
      <c r="O250" s="81"/>
      <c r="P250" s="81"/>
      <c r="Q250" s="81"/>
      <c r="R250" s="81"/>
      <c r="S250" s="81"/>
      <c r="T250" s="81"/>
      <c r="U250" s="81"/>
      <c r="V250" s="81"/>
      <c r="W250" s="81"/>
      <c r="X250" s="81"/>
      <c r="Y250" s="81"/>
      <c r="Z250" s="81"/>
      <c r="AA250" s="81"/>
      <c r="AB250" s="81"/>
      <c r="AC250" s="81"/>
      <c r="AD250" s="81"/>
      <c r="AE250" s="81"/>
      <c r="AF250" s="81"/>
      <c r="AG250" s="81"/>
      <c r="AH250" s="81"/>
      <c r="AI250" s="81"/>
      <c r="AJ250" s="81"/>
      <c r="AK250" s="81"/>
      <c r="AL250" s="81"/>
      <c r="AM250" s="81"/>
      <c r="AN250" s="81"/>
      <c r="AO250" s="81"/>
      <c r="AP250" s="81"/>
      <c r="AQ250" s="81"/>
      <c r="AR250" s="81"/>
      <c r="AS250" s="81"/>
      <c r="AT250" s="81"/>
      <c r="AU250" s="81"/>
      <c r="AV250" s="81"/>
      <c r="AW250" s="81"/>
      <c r="AX250" s="81"/>
      <c r="AY250" s="81"/>
      <c r="AZ250" s="81"/>
      <c r="BA250" s="81"/>
      <c r="BB250" s="81"/>
      <c r="BC250" s="81"/>
      <c r="BD250" s="81"/>
      <c r="BE250" s="81"/>
      <c r="BF250" s="81"/>
      <c r="BG250" s="81"/>
      <c r="BH250" s="81"/>
      <c r="BI250" s="81"/>
      <c r="BJ250" s="81"/>
      <c r="BK250" s="81"/>
      <c r="BL250" s="81"/>
      <c r="BM250" s="81"/>
      <c r="BN250" s="81"/>
      <c r="BO250" s="81"/>
      <c r="BP250" s="81"/>
      <c r="BQ250" s="81"/>
      <c r="BR250" s="81"/>
      <c r="BS250" s="81"/>
      <c r="BT250" s="81"/>
      <c r="BU250" s="81"/>
      <c r="BV250" s="81"/>
      <c r="BW250" s="81"/>
      <c r="BX250" s="81"/>
      <c r="BY250" s="81"/>
      <c r="BZ250" s="81"/>
      <c r="CA250" s="81"/>
      <c r="CB250" s="81"/>
      <c r="CC250" s="81"/>
      <c r="CD250" s="81"/>
      <c r="CE250" s="81"/>
      <c r="CF250" s="81"/>
      <c r="CG250" s="81"/>
      <c r="CH250" s="81"/>
      <c r="CI250" s="81"/>
      <c r="CJ250" s="81"/>
      <c r="CK250" s="81"/>
      <c r="CL250" s="81"/>
      <c r="CM250" s="81"/>
      <c r="CN250" s="81"/>
      <c r="CO250" s="81"/>
      <c r="CP250" s="81"/>
      <c r="CQ250" s="81"/>
      <c r="CR250" s="81"/>
      <c r="CS250" s="81"/>
      <c r="CT250" s="81"/>
      <c r="CU250" s="81"/>
      <c r="CV250" s="81"/>
      <c r="CW250" s="81"/>
      <c r="CX250" s="81"/>
      <c r="CY250" s="81"/>
      <c r="CZ250" s="81"/>
      <c r="DA250" s="81"/>
      <c r="DB250" s="81"/>
      <c r="DC250" s="81"/>
      <c r="DD250" s="81"/>
      <c r="DE250" s="81"/>
      <c r="DF250" s="81"/>
      <c r="DG250" s="81"/>
      <c r="DH250" s="81"/>
      <c r="DI250" s="81"/>
      <c r="DJ250" s="81"/>
      <c r="DK250" s="81"/>
      <c r="DL250" s="81"/>
      <c r="DM250" s="81"/>
      <c r="DN250" s="81"/>
      <c r="DO250" s="81"/>
      <c r="DP250" s="81"/>
      <c r="DQ250" s="81"/>
      <c r="DR250" s="81"/>
      <c r="DS250" s="81"/>
      <c r="DT250" s="81"/>
      <c r="DU250" s="81"/>
      <c r="DV250" s="81"/>
      <c r="DW250" s="81"/>
      <c r="DX250" s="81"/>
      <c r="DY250" s="81"/>
      <c r="DZ250" s="81"/>
      <c r="EA250" s="81"/>
      <c r="EB250" s="81"/>
      <c r="EC250" s="81"/>
      <c r="ED250" s="81"/>
      <c r="EE250" s="81"/>
      <c r="EF250" s="81"/>
      <c r="EG250" s="81"/>
      <c r="EH250" s="81"/>
      <c r="EI250" s="81"/>
      <c r="EJ250" s="81"/>
      <c r="EK250" s="81"/>
      <c r="EL250" s="81"/>
      <c r="EM250" s="81"/>
      <c r="EN250" s="81"/>
      <c r="EO250" s="81"/>
      <c r="EP250" s="81"/>
      <c r="EQ250" s="81"/>
      <c r="ER250" s="81"/>
      <c r="ES250" s="81"/>
      <c r="ET250" s="81"/>
      <c r="EU250" s="81"/>
      <c r="EV250" s="81"/>
      <c r="EW250" s="81"/>
      <c r="EX250" s="81"/>
      <c r="EY250" s="81"/>
      <c r="EZ250" s="81"/>
      <c r="FA250" s="81"/>
      <c r="FB250" s="81"/>
      <c r="FC250" s="81"/>
      <c r="FD250" s="81"/>
      <c r="FE250" s="81"/>
      <c r="FF250" s="81"/>
      <c r="FG250" s="81"/>
      <c r="FH250" s="81"/>
      <c r="FI250" s="81"/>
      <c r="FJ250" s="81"/>
      <c r="FK250" s="81"/>
      <c r="FL250" s="81"/>
      <c r="FM250" s="81"/>
      <c r="FN250" s="81"/>
      <c r="FO250" s="81"/>
      <c r="FP250" s="81"/>
      <c r="FQ250" s="81"/>
      <c r="FR250" s="81"/>
      <c r="FS250" s="81"/>
      <c r="FT250" s="81"/>
      <c r="FU250" s="81"/>
      <c r="FV250" s="81"/>
      <c r="FW250" s="81"/>
      <c r="FX250" s="81"/>
      <c r="FY250" s="81"/>
      <c r="FZ250" s="81"/>
      <c r="GA250" s="81"/>
      <c r="GB250" s="81"/>
      <c r="GC250" s="81"/>
      <c r="GD250" s="81"/>
      <c r="GE250" s="81"/>
      <c r="GF250" s="81"/>
      <c r="GG250" s="81"/>
      <c r="GH250" s="81"/>
      <c r="GI250" s="81"/>
      <c r="GJ250" s="81"/>
      <c r="GK250" s="81"/>
      <c r="GL250" s="81"/>
      <c r="GM250" s="81"/>
      <c r="GN250" s="81"/>
      <c r="GO250" s="81"/>
      <c r="GP250" s="81"/>
      <c r="GQ250" s="81"/>
      <c r="GR250" s="81"/>
      <c r="GS250" s="81"/>
      <c r="GT250" s="81"/>
      <c r="GU250" s="81"/>
      <c r="GV250" s="81"/>
      <c r="GW250" s="81"/>
      <c r="GX250" s="81"/>
      <c r="GY250" s="81"/>
      <c r="GZ250" s="81"/>
      <c r="HA250" s="81"/>
      <c r="HB250" s="81"/>
      <c r="HC250" s="81"/>
      <c r="HD250" s="81"/>
      <c r="HE250" s="81"/>
      <c r="HF250" s="81"/>
      <c r="HG250" s="81"/>
      <c r="HH250" s="81"/>
      <c r="HI250" s="81"/>
      <c r="HJ250" s="81"/>
      <c r="HK250" s="81"/>
      <c r="HL250" s="81"/>
      <c r="HM250" s="81"/>
      <c r="HN250" s="81"/>
      <c r="HO250" s="81"/>
      <c r="HP250" s="81"/>
      <c r="HQ250" s="81"/>
      <c r="HR250" s="81"/>
      <c r="HS250" s="81"/>
      <c r="HT250" s="81"/>
      <c r="HU250" s="81"/>
      <c r="HV250" s="81"/>
      <c r="HW250" s="81"/>
      <c r="HX250" s="81"/>
      <c r="HY250" s="81"/>
      <c r="HZ250" s="81"/>
      <c r="IA250" s="81"/>
      <c r="IB250" s="81"/>
      <c r="IC250" s="81"/>
      <c r="ID250" s="81"/>
      <c r="IE250" s="81"/>
      <c r="IF250" s="81"/>
      <c r="IG250" s="81"/>
      <c r="IH250" s="81"/>
      <c r="II250" s="81"/>
      <c r="IJ250" s="81"/>
    </row>
    <row r="251" spans="1:244" s="66" customFormat="1" ht="25" x14ac:dyDescent="0.25">
      <c r="A251" s="54"/>
      <c r="B251" s="44" t="s">
        <v>138</v>
      </c>
      <c r="C251" s="41" t="s">
        <v>53</v>
      </c>
      <c r="D251" s="41">
        <f>1</f>
        <v>1</v>
      </c>
      <c r="E251" s="45">
        <v>6.28</v>
      </c>
      <c r="F251" s="55">
        <f t="shared" si="57"/>
        <v>6.28</v>
      </c>
      <c r="G251" s="41" t="s">
        <v>53</v>
      </c>
      <c r="H251" s="41">
        <v>0</v>
      </c>
      <c r="I251" s="41">
        <v>0</v>
      </c>
      <c r="J251" s="41">
        <f t="shared" si="58"/>
        <v>0</v>
      </c>
      <c r="K251" s="41">
        <f t="shared" si="58"/>
        <v>0</v>
      </c>
      <c r="L251" s="41">
        <f t="shared" si="59"/>
        <v>0</v>
      </c>
      <c r="M251" s="81"/>
      <c r="N251" s="81"/>
      <c r="O251" s="81"/>
      <c r="P251" s="81"/>
      <c r="Q251" s="81"/>
      <c r="R251" s="81"/>
      <c r="S251" s="81"/>
      <c r="T251" s="81"/>
      <c r="U251" s="81"/>
      <c r="V251" s="81"/>
      <c r="W251" s="81"/>
      <c r="X251" s="81"/>
      <c r="Y251" s="81"/>
      <c r="Z251" s="81"/>
      <c r="AA251" s="81"/>
      <c r="AB251" s="81"/>
      <c r="AC251" s="81"/>
      <c r="AD251" s="81"/>
      <c r="AE251" s="81"/>
      <c r="AF251" s="81"/>
      <c r="AG251" s="81"/>
      <c r="AH251" s="81"/>
      <c r="AI251" s="81"/>
      <c r="AJ251" s="81"/>
      <c r="AK251" s="81"/>
      <c r="AL251" s="81"/>
      <c r="AM251" s="81"/>
      <c r="AN251" s="81"/>
      <c r="AO251" s="81"/>
      <c r="AP251" s="81"/>
      <c r="AQ251" s="81"/>
      <c r="AR251" s="81"/>
      <c r="AS251" s="81"/>
      <c r="AT251" s="81"/>
      <c r="AU251" s="81"/>
      <c r="AV251" s="81"/>
      <c r="AW251" s="81"/>
      <c r="AX251" s="81"/>
      <c r="AY251" s="81"/>
      <c r="AZ251" s="81"/>
      <c r="BA251" s="81"/>
      <c r="BB251" s="81"/>
      <c r="BC251" s="81"/>
      <c r="BD251" s="81"/>
      <c r="BE251" s="81"/>
      <c r="BF251" s="81"/>
      <c r="BG251" s="81"/>
      <c r="BH251" s="81"/>
      <c r="BI251" s="81"/>
      <c r="BJ251" s="81"/>
      <c r="BK251" s="81"/>
      <c r="BL251" s="81"/>
      <c r="BM251" s="81"/>
      <c r="BN251" s="81"/>
      <c r="BO251" s="81"/>
      <c r="BP251" s="81"/>
      <c r="BQ251" s="81"/>
      <c r="BR251" s="81"/>
      <c r="BS251" s="81"/>
      <c r="BT251" s="81"/>
      <c r="BU251" s="81"/>
      <c r="BV251" s="81"/>
      <c r="BW251" s="81"/>
      <c r="BX251" s="81"/>
      <c r="BY251" s="81"/>
      <c r="BZ251" s="81"/>
      <c r="CA251" s="81"/>
      <c r="CB251" s="81"/>
      <c r="CC251" s="81"/>
      <c r="CD251" s="81"/>
      <c r="CE251" s="81"/>
      <c r="CF251" s="81"/>
      <c r="CG251" s="81"/>
      <c r="CH251" s="81"/>
      <c r="CI251" s="81"/>
      <c r="CJ251" s="81"/>
      <c r="CK251" s="81"/>
      <c r="CL251" s="81"/>
      <c r="CM251" s="81"/>
      <c r="CN251" s="81"/>
      <c r="CO251" s="81"/>
      <c r="CP251" s="81"/>
      <c r="CQ251" s="81"/>
      <c r="CR251" s="81"/>
      <c r="CS251" s="81"/>
      <c r="CT251" s="81"/>
      <c r="CU251" s="81"/>
      <c r="CV251" s="81"/>
      <c r="CW251" s="81"/>
      <c r="CX251" s="81"/>
      <c r="CY251" s="81"/>
      <c r="CZ251" s="81"/>
      <c r="DA251" s="81"/>
      <c r="DB251" s="81"/>
      <c r="DC251" s="81"/>
      <c r="DD251" s="81"/>
      <c r="DE251" s="81"/>
      <c r="DF251" s="81"/>
      <c r="DG251" s="81"/>
      <c r="DH251" s="81"/>
      <c r="DI251" s="81"/>
      <c r="DJ251" s="81"/>
      <c r="DK251" s="81"/>
      <c r="DL251" s="81"/>
      <c r="DM251" s="81"/>
      <c r="DN251" s="81"/>
      <c r="DO251" s="81"/>
      <c r="DP251" s="81"/>
      <c r="DQ251" s="81"/>
      <c r="DR251" s="81"/>
      <c r="DS251" s="81"/>
      <c r="DT251" s="81"/>
      <c r="DU251" s="81"/>
      <c r="DV251" s="81"/>
      <c r="DW251" s="81"/>
      <c r="DX251" s="81"/>
      <c r="DY251" s="81"/>
      <c r="DZ251" s="81"/>
      <c r="EA251" s="81"/>
      <c r="EB251" s="81"/>
      <c r="EC251" s="81"/>
      <c r="ED251" s="81"/>
      <c r="EE251" s="81"/>
      <c r="EF251" s="81"/>
      <c r="EG251" s="81"/>
      <c r="EH251" s="81"/>
      <c r="EI251" s="81"/>
      <c r="EJ251" s="81"/>
      <c r="EK251" s="81"/>
      <c r="EL251" s="81"/>
      <c r="EM251" s="81"/>
      <c r="EN251" s="81"/>
      <c r="EO251" s="81"/>
      <c r="EP251" s="81"/>
      <c r="EQ251" s="81"/>
      <c r="ER251" s="81"/>
      <c r="ES251" s="81"/>
      <c r="ET251" s="81"/>
      <c r="EU251" s="81"/>
      <c r="EV251" s="81"/>
      <c r="EW251" s="81"/>
      <c r="EX251" s="81"/>
      <c r="EY251" s="81"/>
      <c r="EZ251" s="81"/>
      <c r="FA251" s="81"/>
      <c r="FB251" s="81"/>
      <c r="FC251" s="81"/>
      <c r="FD251" s="81"/>
      <c r="FE251" s="81"/>
      <c r="FF251" s="81"/>
      <c r="FG251" s="81"/>
      <c r="FH251" s="81"/>
      <c r="FI251" s="81"/>
      <c r="FJ251" s="81"/>
      <c r="FK251" s="81"/>
      <c r="FL251" s="81"/>
      <c r="FM251" s="81"/>
      <c r="FN251" s="81"/>
      <c r="FO251" s="81"/>
      <c r="FP251" s="81"/>
      <c r="FQ251" s="81"/>
      <c r="FR251" s="81"/>
      <c r="FS251" s="81"/>
      <c r="FT251" s="81"/>
      <c r="FU251" s="81"/>
      <c r="FV251" s="81"/>
      <c r="FW251" s="81"/>
      <c r="FX251" s="81"/>
      <c r="FY251" s="81"/>
      <c r="FZ251" s="81"/>
      <c r="GA251" s="81"/>
      <c r="GB251" s="81"/>
      <c r="GC251" s="81"/>
      <c r="GD251" s="81"/>
      <c r="GE251" s="81"/>
      <c r="GF251" s="81"/>
      <c r="GG251" s="81"/>
      <c r="GH251" s="81"/>
      <c r="GI251" s="81"/>
      <c r="GJ251" s="81"/>
      <c r="GK251" s="81"/>
      <c r="GL251" s="81"/>
      <c r="GM251" s="81"/>
      <c r="GN251" s="81"/>
      <c r="GO251" s="81"/>
      <c r="GP251" s="81"/>
      <c r="GQ251" s="81"/>
      <c r="GR251" s="81"/>
      <c r="GS251" s="81"/>
      <c r="GT251" s="81"/>
      <c r="GU251" s="81"/>
      <c r="GV251" s="81"/>
      <c r="GW251" s="81"/>
      <c r="GX251" s="81"/>
      <c r="GY251" s="81"/>
      <c r="GZ251" s="81"/>
      <c r="HA251" s="81"/>
      <c r="HB251" s="81"/>
      <c r="HC251" s="81"/>
      <c r="HD251" s="81"/>
      <c r="HE251" s="81"/>
      <c r="HF251" s="81"/>
      <c r="HG251" s="81"/>
      <c r="HH251" s="81"/>
      <c r="HI251" s="81"/>
      <c r="HJ251" s="81"/>
      <c r="HK251" s="81"/>
      <c r="HL251" s="81"/>
      <c r="HM251" s="81"/>
      <c r="HN251" s="81"/>
      <c r="HO251" s="81"/>
      <c r="HP251" s="81"/>
      <c r="HQ251" s="81"/>
      <c r="HR251" s="81"/>
      <c r="HS251" s="81"/>
      <c r="HT251" s="81"/>
      <c r="HU251" s="81"/>
      <c r="HV251" s="81"/>
      <c r="HW251" s="81"/>
      <c r="HX251" s="81"/>
      <c r="HY251" s="81"/>
      <c r="HZ251" s="81"/>
      <c r="IA251" s="81"/>
      <c r="IB251" s="81"/>
      <c r="IC251" s="81"/>
      <c r="ID251" s="81"/>
      <c r="IE251" s="81"/>
      <c r="IF251" s="81"/>
      <c r="IG251" s="81"/>
      <c r="IH251" s="81"/>
      <c r="II251" s="81"/>
      <c r="IJ251" s="81"/>
    </row>
    <row r="252" spans="1:244" s="66" customFormat="1" ht="25" x14ac:dyDescent="0.25">
      <c r="A252" s="54"/>
      <c r="B252" s="44" t="s">
        <v>139</v>
      </c>
      <c r="C252" s="41" t="s">
        <v>53</v>
      </c>
      <c r="D252" s="41">
        <f>1</f>
        <v>1</v>
      </c>
      <c r="E252" s="45">
        <v>6.28</v>
      </c>
      <c r="F252" s="55">
        <f t="shared" si="57"/>
        <v>6.28</v>
      </c>
      <c r="G252" s="41" t="s">
        <v>53</v>
      </c>
      <c r="H252" s="41">
        <v>0</v>
      </c>
      <c r="I252" s="41">
        <v>0</v>
      </c>
      <c r="J252" s="41">
        <f t="shared" si="58"/>
        <v>0</v>
      </c>
      <c r="K252" s="41">
        <f t="shared" si="58"/>
        <v>0</v>
      </c>
      <c r="L252" s="41">
        <f t="shared" si="59"/>
        <v>0</v>
      </c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  <c r="AA252" s="81"/>
      <c r="AB252" s="81"/>
      <c r="AC252" s="81"/>
      <c r="AD252" s="81"/>
      <c r="AE252" s="81"/>
      <c r="AF252" s="81"/>
      <c r="AG252" s="81"/>
      <c r="AH252" s="81"/>
      <c r="AI252" s="81"/>
      <c r="AJ252" s="81"/>
      <c r="AK252" s="81"/>
      <c r="AL252" s="81"/>
      <c r="AM252" s="81"/>
      <c r="AN252" s="81"/>
      <c r="AO252" s="81"/>
      <c r="AP252" s="81"/>
      <c r="AQ252" s="81"/>
      <c r="AR252" s="81"/>
      <c r="AS252" s="81"/>
      <c r="AT252" s="81"/>
      <c r="AU252" s="81"/>
      <c r="AV252" s="81"/>
      <c r="AW252" s="81"/>
      <c r="AX252" s="81"/>
      <c r="AY252" s="81"/>
      <c r="AZ252" s="81"/>
      <c r="BA252" s="81"/>
      <c r="BB252" s="81"/>
      <c r="BC252" s="81"/>
      <c r="BD252" s="81"/>
      <c r="BE252" s="81"/>
      <c r="BF252" s="81"/>
      <c r="BG252" s="81"/>
      <c r="BH252" s="81"/>
      <c r="BI252" s="81"/>
      <c r="BJ252" s="81"/>
      <c r="BK252" s="81"/>
      <c r="BL252" s="81"/>
      <c r="BM252" s="81"/>
      <c r="BN252" s="81"/>
      <c r="BO252" s="81"/>
      <c r="BP252" s="81"/>
      <c r="BQ252" s="81"/>
      <c r="BR252" s="81"/>
      <c r="BS252" s="81"/>
      <c r="BT252" s="81"/>
      <c r="BU252" s="81"/>
      <c r="BV252" s="81"/>
      <c r="BW252" s="81"/>
      <c r="BX252" s="81"/>
      <c r="BY252" s="81"/>
      <c r="BZ252" s="81"/>
      <c r="CA252" s="81"/>
      <c r="CB252" s="81"/>
      <c r="CC252" s="81"/>
      <c r="CD252" s="81"/>
      <c r="CE252" s="81"/>
      <c r="CF252" s="81"/>
      <c r="CG252" s="81"/>
      <c r="CH252" s="81"/>
      <c r="CI252" s="81"/>
      <c r="CJ252" s="81"/>
      <c r="CK252" s="81"/>
      <c r="CL252" s="81"/>
      <c r="CM252" s="81"/>
      <c r="CN252" s="81"/>
      <c r="CO252" s="81"/>
      <c r="CP252" s="81"/>
      <c r="CQ252" s="81"/>
      <c r="CR252" s="81"/>
      <c r="CS252" s="81"/>
      <c r="CT252" s="81"/>
      <c r="CU252" s="81"/>
      <c r="CV252" s="81"/>
      <c r="CW252" s="81"/>
      <c r="CX252" s="81"/>
      <c r="CY252" s="81"/>
      <c r="CZ252" s="81"/>
      <c r="DA252" s="81"/>
      <c r="DB252" s="81"/>
      <c r="DC252" s="81"/>
      <c r="DD252" s="81"/>
      <c r="DE252" s="81"/>
      <c r="DF252" s="81"/>
      <c r="DG252" s="81"/>
      <c r="DH252" s="81"/>
      <c r="DI252" s="81"/>
      <c r="DJ252" s="81"/>
      <c r="DK252" s="81"/>
      <c r="DL252" s="81"/>
      <c r="DM252" s="81"/>
      <c r="DN252" s="81"/>
      <c r="DO252" s="81"/>
      <c r="DP252" s="81"/>
      <c r="DQ252" s="81"/>
      <c r="DR252" s="81"/>
      <c r="DS252" s="81"/>
      <c r="DT252" s="81"/>
      <c r="DU252" s="81"/>
      <c r="DV252" s="81"/>
      <c r="DW252" s="81"/>
      <c r="DX252" s="81"/>
      <c r="DY252" s="81"/>
      <c r="DZ252" s="81"/>
      <c r="EA252" s="81"/>
      <c r="EB252" s="81"/>
      <c r="EC252" s="81"/>
      <c r="ED252" s="81"/>
      <c r="EE252" s="81"/>
      <c r="EF252" s="81"/>
      <c r="EG252" s="81"/>
      <c r="EH252" s="81"/>
      <c r="EI252" s="81"/>
      <c r="EJ252" s="81"/>
      <c r="EK252" s="81"/>
      <c r="EL252" s="81"/>
      <c r="EM252" s="81"/>
      <c r="EN252" s="81"/>
      <c r="EO252" s="81"/>
      <c r="EP252" s="81"/>
      <c r="EQ252" s="81"/>
      <c r="ER252" s="81"/>
      <c r="ES252" s="81"/>
      <c r="ET252" s="81"/>
      <c r="EU252" s="81"/>
      <c r="EV252" s="81"/>
      <c r="EW252" s="81"/>
      <c r="EX252" s="81"/>
      <c r="EY252" s="81"/>
      <c r="EZ252" s="81"/>
      <c r="FA252" s="81"/>
      <c r="FB252" s="81"/>
      <c r="FC252" s="81"/>
      <c r="FD252" s="81"/>
      <c r="FE252" s="81"/>
      <c r="FF252" s="81"/>
      <c r="FG252" s="81"/>
      <c r="FH252" s="81"/>
      <c r="FI252" s="81"/>
      <c r="FJ252" s="81"/>
      <c r="FK252" s="81"/>
      <c r="FL252" s="81"/>
      <c r="FM252" s="81"/>
      <c r="FN252" s="81"/>
      <c r="FO252" s="81"/>
      <c r="FP252" s="81"/>
      <c r="FQ252" s="81"/>
      <c r="FR252" s="81"/>
      <c r="FS252" s="81"/>
      <c r="FT252" s="81"/>
      <c r="FU252" s="81"/>
      <c r="FV252" s="81"/>
      <c r="FW252" s="81"/>
      <c r="FX252" s="81"/>
      <c r="FY252" s="81"/>
      <c r="FZ252" s="81"/>
      <c r="GA252" s="81"/>
      <c r="GB252" s="81"/>
      <c r="GC252" s="81"/>
      <c r="GD252" s="81"/>
      <c r="GE252" s="81"/>
      <c r="GF252" s="81"/>
      <c r="GG252" s="81"/>
      <c r="GH252" s="81"/>
      <c r="GI252" s="81"/>
      <c r="GJ252" s="81"/>
      <c r="GK252" s="81"/>
      <c r="GL252" s="81"/>
      <c r="GM252" s="81"/>
      <c r="GN252" s="81"/>
      <c r="GO252" s="81"/>
      <c r="GP252" s="81"/>
      <c r="GQ252" s="81"/>
      <c r="GR252" s="81"/>
      <c r="GS252" s="81"/>
      <c r="GT252" s="81"/>
      <c r="GU252" s="81"/>
      <c r="GV252" s="81"/>
      <c r="GW252" s="81"/>
      <c r="GX252" s="81"/>
      <c r="GY252" s="81"/>
      <c r="GZ252" s="81"/>
      <c r="HA252" s="81"/>
      <c r="HB252" s="81"/>
      <c r="HC252" s="81"/>
      <c r="HD252" s="81"/>
      <c r="HE252" s="81"/>
      <c r="HF252" s="81"/>
      <c r="HG252" s="81"/>
      <c r="HH252" s="81"/>
      <c r="HI252" s="81"/>
      <c r="HJ252" s="81"/>
      <c r="HK252" s="81"/>
      <c r="HL252" s="81"/>
      <c r="HM252" s="81"/>
      <c r="HN252" s="81"/>
      <c r="HO252" s="81"/>
      <c r="HP252" s="81"/>
      <c r="HQ252" s="81"/>
      <c r="HR252" s="81"/>
      <c r="HS252" s="81"/>
      <c r="HT252" s="81"/>
      <c r="HU252" s="81"/>
      <c r="HV252" s="81"/>
      <c r="HW252" s="81"/>
      <c r="HX252" s="81"/>
      <c r="HY252" s="81"/>
      <c r="HZ252" s="81"/>
      <c r="IA252" s="81"/>
      <c r="IB252" s="81"/>
      <c r="IC252" s="81"/>
      <c r="ID252" s="81"/>
      <c r="IE252" s="81"/>
      <c r="IF252" s="81"/>
      <c r="IG252" s="81"/>
      <c r="IH252" s="81"/>
      <c r="II252" s="81"/>
      <c r="IJ252" s="81"/>
    </row>
    <row r="253" spans="1:244" s="66" customFormat="1" ht="14" x14ac:dyDescent="0.25">
      <c r="A253" s="54"/>
      <c r="B253" s="44"/>
      <c r="C253" s="41"/>
      <c r="D253" s="41"/>
      <c r="E253" s="45"/>
      <c r="F253" s="55"/>
      <c r="G253" s="41"/>
      <c r="H253" s="41"/>
      <c r="I253" s="41"/>
      <c r="J253" s="41"/>
      <c r="K253" s="41"/>
      <c r="L253" s="41"/>
      <c r="M253" s="81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  <c r="Z253" s="81"/>
      <c r="AA253" s="81"/>
      <c r="AB253" s="81"/>
      <c r="AC253" s="81"/>
      <c r="AD253" s="81"/>
      <c r="AE253" s="81"/>
      <c r="AF253" s="81"/>
      <c r="AG253" s="81"/>
      <c r="AH253" s="81"/>
      <c r="AI253" s="81"/>
      <c r="AJ253" s="81"/>
      <c r="AK253" s="81"/>
      <c r="AL253" s="81"/>
      <c r="AM253" s="81"/>
      <c r="AN253" s="81"/>
      <c r="AO253" s="81"/>
      <c r="AP253" s="81"/>
      <c r="AQ253" s="81"/>
      <c r="AR253" s="81"/>
      <c r="AS253" s="81"/>
      <c r="AT253" s="81"/>
      <c r="AU253" s="81"/>
      <c r="AV253" s="81"/>
      <c r="AW253" s="81"/>
      <c r="AX253" s="81"/>
      <c r="AY253" s="81"/>
      <c r="AZ253" s="81"/>
      <c r="BA253" s="81"/>
      <c r="BB253" s="81"/>
      <c r="BC253" s="81"/>
      <c r="BD253" s="81"/>
      <c r="BE253" s="81"/>
      <c r="BF253" s="81"/>
      <c r="BG253" s="81"/>
      <c r="BH253" s="81"/>
      <c r="BI253" s="81"/>
      <c r="BJ253" s="81"/>
      <c r="BK253" s="81"/>
      <c r="BL253" s="81"/>
      <c r="BM253" s="81"/>
      <c r="BN253" s="81"/>
      <c r="BO253" s="81"/>
      <c r="BP253" s="81"/>
      <c r="BQ253" s="81"/>
      <c r="BR253" s="81"/>
      <c r="BS253" s="81"/>
      <c r="BT253" s="81"/>
      <c r="BU253" s="81"/>
      <c r="BV253" s="81"/>
      <c r="BW253" s="81"/>
      <c r="BX253" s="81"/>
      <c r="BY253" s="81"/>
      <c r="BZ253" s="81"/>
      <c r="CA253" s="81"/>
      <c r="CB253" s="81"/>
      <c r="CC253" s="81"/>
      <c r="CD253" s="81"/>
      <c r="CE253" s="81"/>
      <c r="CF253" s="81"/>
      <c r="CG253" s="81"/>
      <c r="CH253" s="81"/>
      <c r="CI253" s="81"/>
      <c r="CJ253" s="81"/>
      <c r="CK253" s="81"/>
      <c r="CL253" s="81"/>
      <c r="CM253" s="81"/>
      <c r="CN253" s="81"/>
      <c r="CO253" s="81"/>
      <c r="CP253" s="81"/>
      <c r="CQ253" s="81"/>
      <c r="CR253" s="81"/>
      <c r="CS253" s="81"/>
      <c r="CT253" s="81"/>
      <c r="CU253" s="81"/>
      <c r="CV253" s="81"/>
      <c r="CW253" s="81"/>
      <c r="CX253" s="81"/>
      <c r="CY253" s="81"/>
      <c r="CZ253" s="81"/>
      <c r="DA253" s="81"/>
      <c r="DB253" s="81"/>
      <c r="DC253" s="81"/>
      <c r="DD253" s="81"/>
      <c r="DE253" s="81"/>
      <c r="DF253" s="81"/>
      <c r="DG253" s="81"/>
      <c r="DH253" s="81"/>
      <c r="DI253" s="81"/>
      <c r="DJ253" s="81"/>
      <c r="DK253" s="81"/>
      <c r="DL253" s="81"/>
      <c r="DM253" s="81"/>
      <c r="DN253" s="81"/>
      <c r="DO253" s="81"/>
      <c r="DP253" s="81"/>
      <c r="DQ253" s="81"/>
      <c r="DR253" s="81"/>
      <c r="DS253" s="81"/>
      <c r="DT253" s="81"/>
      <c r="DU253" s="81"/>
      <c r="DV253" s="81"/>
      <c r="DW253" s="81"/>
      <c r="DX253" s="81"/>
      <c r="DY253" s="81"/>
      <c r="DZ253" s="81"/>
      <c r="EA253" s="81"/>
      <c r="EB253" s="81"/>
      <c r="EC253" s="81"/>
      <c r="ED253" s="81"/>
      <c r="EE253" s="81"/>
      <c r="EF253" s="81"/>
      <c r="EG253" s="81"/>
      <c r="EH253" s="81"/>
      <c r="EI253" s="81"/>
      <c r="EJ253" s="81"/>
      <c r="EK253" s="81"/>
      <c r="EL253" s="81"/>
      <c r="EM253" s="81"/>
      <c r="EN253" s="81"/>
      <c r="EO253" s="81"/>
      <c r="EP253" s="81"/>
      <c r="EQ253" s="81"/>
      <c r="ER253" s="81"/>
      <c r="ES253" s="81"/>
      <c r="ET253" s="81"/>
      <c r="EU253" s="81"/>
      <c r="EV253" s="81"/>
      <c r="EW253" s="81"/>
      <c r="EX253" s="81"/>
      <c r="EY253" s="81"/>
      <c r="EZ253" s="81"/>
      <c r="FA253" s="81"/>
      <c r="FB253" s="81"/>
      <c r="FC253" s="81"/>
      <c r="FD253" s="81"/>
      <c r="FE253" s="81"/>
      <c r="FF253" s="81"/>
      <c r="FG253" s="81"/>
      <c r="FH253" s="81"/>
      <c r="FI253" s="81"/>
      <c r="FJ253" s="81"/>
      <c r="FK253" s="81"/>
      <c r="FL253" s="81"/>
      <c r="FM253" s="81"/>
      <c r="FN253" s="81"/>
      <c r="FO253" s="81"/>
      <c r="FP253" s="81"/>
      <c r="FQ253" s="81"/>
      <c r="FR253" s="81"/>
      <c r="FS253" s="81"/>
      <c r="FT253" s="81"/>
      <c r="FU253" s="81"/>
      <c r="FV253" s="81"/>
      <c r="FW253" s="81"/>
      <c r="FX253" s="81"/>
      <c r="FY253" s="81"/>
      <c r="FZ253" s="81"/>
      <c r="GA253" s="81"/>
      <c r="GB253" s="81"/>
      <c r="GC253" s="81"/>
      <c r="GD253" s="81"/>
      <c r="GE253" s="81"/>
      <c r="GF253" s="81"/>
      <c r="GG253" s="81"/>
      <c r="GH253" s="81"/>
      <c r="GI253" s="81"/>
      <c r="GJ253" s="81"/>
      <c r="GK253" s="81"/>
      <c r="GL253" s="81"/>
      <c r="GM253" s="81"/>
      <c r="GN253" s="81"/>
      <c r="GO253" s="81"/>
      <c r="GP253" s="81"/>
      <c r="GQ253" s="81"/>
      <c r="GR253" s="81"/>
      <c r="GS253" s="81"/>
      <c r="GT253" s="81"/>
      <c r="GU253" s="81"/>
      <c r="GV253" s="81"/>
      <c r="GW253" s="81"/>
      <c r="GX253" s="81"/>
      <c r="GY253" s="81"/>
      <c r="GZ253" s="81"/>
      <c r="HA253" s="81"/>
      <c r="HB253" s="81"/>
      <c r="HC253" s="81"/>
      <c r="HD253" s="81"/>
      <c r="HE253" s="81"/>
      <c r="HF253" s="81"/>
      <c r="HG253" s="81"/>
      <c r="HH253" s="81"/>
      <c r="HI253" s="81"/>
      <c r="HJ253" s="81"/>
      <c r="HK253" s="81"/>
      <c r="HL253" s="81"/>
      <c r="HM253" s="81"/>
      <c r="HN253" s="81"/>
      <c r="HO253" s="81"/>
      <c r="HP253" s="81"/>
      <c r="HQ253" s="81"/>
      <c r="HR253" s="81"/>
      <c r="HS253" s="81"/>
      <c r="HT253" s="81"/>
      <c r="HU253" s="81"/>
      <c r="HV253" s="81"/>
      <c r="HW253" s="81"/>
      <c r="HX253" s="81"/>
      <c r="HY253" s="81"/>
      <c r="HZ253" s="81"/>
      <c r="IA253" s="81"/>
      <c r="IB253" s="81"/>
      <c r="IC253" s="81"/>
      <c r="ID253" s="81"/>
      <c r="IE253" s="81"/>
      <c r="IF253" s="81"/>
      <c r="IG253" s="81"/>
      <c r="IH253" s="81"/>
      <c r="II253" s="81"/>
      <c r="IJ253" s="81"/>
    </row>
    <row r="254" spans="1:244" s="43" customFormat="1" ht="15" x14ac:dyDescent="0.25">
      <c r="A254" s="18"/>
      <c r="B254" s="13" t="s">
        <v>234</v>
      </c>
      <c r="C254" s="12"/>
      <c r="D254" s="24"/>
      <c r="E254" s="12"/>
      <c r="F254" s="12"/>
      <c r="G254" s="12"/>
      <c r="H254" s="11"/>
      <c r="I254" s="11"/>
      <c r="J254" s="11"/>
      <c r="K254" s="11"/>
      <c r="L254" s="11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  <c r="DG254" s="3"/>
      <c r="DH254" s="3"/>
      <c r="DI254" s="3"/>
      <c r="DJ254" s="3"/>
      <c r="DK254" s="3"/>
      <c r="DL254" s="3"/>
      <c r="DM254" s="3"/>
      <c r="DN254" s="3"/>
      <c r="DO254" s="3"/>
      <c r="DP254" s="3"/>
      <c r="DQ254" s="3"/>
      <c r="DR254" s="3"/>
      <c r="DS254" s="3"/>
      <c r="DT254" s="3"/>
      <c r="DU254" s="3"/>
      <c r="DV254" s="3"/>
      <c r="DW254" s="3"/>
      <c r="DX254" s="3"/>
      <c r="DY254" s="3"/>
      <c r="DZ254" s="3"/>
      <c r="EA254" s="3"/>
      <c r="EB254" s="3"/>
      <c r="EC254" s="3"/>
      <c r="ED254" s="3"/>
      <c r="EE254" s="3"/>
      <c r="EF254" s="3"/>
      <c r="EG254" s="3"/>
      <c r="EH254" s="3"/>
      <c r="EI254" s="3"/>
      <c r="EJ254" s="3"/>
      <c r="EK254" s="3"/>
      <c r="EL254" s="3"/>
      <c r="EM254" s="3"/>
      <c r="EN254" s="3"/>
      <c r="EO254" s="3"/>
      <c r="EP254" s="3"/>
      <c r="EQ254" s="3"/>
      <c r="ER254" s="3"/>
      <c r="ES254" s="3"/>
      <c r="ET254" s="3"/>
      <c r="EU254" s="3"/>
      <c r="EV254" s="3"/>
      <c r="EW254" s="3"/>
      <c r="EX254" s="3"/>
      <c r="EY254" s="3"/>
      <c r="EZ254" s="3"/>
      <c r="FA254" s="3"/>
      <c r="FB254" s="3"/>
      <c r="FC254" s="3"/>
      <c r="FD254" s="3"/>
      <c r="FE254" s="3"/>
      <c r="FF254" s="3"/>
      <c r="FG254" s="3"/>
      <c r="FH254" s="3"/>
      <c r="FI254" s="3"/>
      <c r="FJ254" s="3"/>
      <c r="FK254" s="3"/>
      <c r="FL254" s="3"/>
      <c r="FM254" s="3"/>
      <c r="FN254" s="3"/>
      <c r="FO254" s="3"/>
      <c r="FP254" s="3"/>
      <c r="FQ254" s="3"/>
      <c r="FR254" s="3"/>
      <c r="FS254" s="3"/>
      <c r="FT254" s="3"/>
      <c r="FU254" s="3"/>
      <c r="FV254" s="3"/>
      <c r="FW254" s="3"/>
      <c r="FX254" s="3"/>
      <c r="FY254" s="3"/>
      <c r="FZ254" s="3"/>
      <c r="GA254" s="3"/>
      <c r="GB254" s="3"/>
      <c r="GC254" s="3"/>
      <c r="GD254" s="3"/>
      <c r="GE254" s="3"/>
      <c r="GF254" s="3"/>
      <c r="GG254" s="3"/>
      <c r="GH254" s="3"/>
      <c r="GI254" s="3"/>
      <c r="GJ254" s="3"/>
      <c r="GK254" s="3"/>
      <c r="GL254" s="3"/>
      <c r="GM254" s="3"/>
      <c r="GN254" s="3"/>
      <c r="GO254" s="3"/>
      <c r="GP254" s="3"/>
      <c r="GQ254" s="3"/>
      <c r="GR254" s="3"/>
      <c r="GS254" s="3"/>
      <c r="GT254" s="3"/>
      <c r="GU254" s="3"/>
      <c r="GV254" s="3"/>
      <c r="GW254" s="3"/>
      <c r="GX254" s="3"/>
      <c r="GY254" s="3"/>
      <c r="GZ254" s="3"/>
      <c r="HA254" s="3"/>
      <c r="HB254" s="3"/>
      <c r="HC254" s="3"/>
      <c r="HD254" s="3"/>
      <c r="HE254" s="3"/>
      <c r="HF254" s="3"/>
      <c r="HG254" s="3"/>
      <c r="HH254" s="3"/>
      <c r="HI254" s="3"/>
      <c r="HJ254" s="3"/>
      <c r="HK254" s="3"/>
      <c r="HL254" s="3"/>
      <c r="HM254" s="3"/>
      <c r="HN254" s="3"/>
      <c r="HO254" s="3"/>
      <c r="HP254" s="3"/>
      <c r="HQ254" s="3"/>
      <c r="HR254" s="3"/>
      <c r="HS254" s="3"/>
      <c r="HT254" s="3"/>
      <c r="HU254" s="3"/>
      <c r="HV254" s="3"/>
      <c r="HW254" s="3"/>
      <c r="HX254" s="3"/>
      <c r="HY254" s="3"/>
      <c r="HZ254" s="3"/>
      <c r="IA254" s="3"/>
      <c r="IB254" s="3"/>
      <c r="IC254" s="3"/>
      <c r="ID254" s="3"/>
      <c r="IE254" s="3"/>
      <c r="IF254" s="3"/>
      <c r="IG254" s="3"/>
      <c r="IH254" s="3"/>
      <c r="II254" s="3"/>
      <c r="IJ254" s="3"/>
    </row>
    <row r="255" spans="1:244" s="81" customFormat="1" ht="37.5" x14ac:dyDescent="0.25">
      <c r="A255" s="54"/>
      <c r="B255" s="44" t="s">
        <v>308</v>
      </c>
      <c r="C255" s="41" t="s">
        <v>68</v>
      </c>
      <c r="D255" s="76">
        <f>CEILING(1.01*(0.5),1)</f>
        <v>1</v>
      </c>
      <c r="E255" s="45">
        <v>0.85199999999999998</v>
      </c>
      <c r="F255" s="55">
        <f t="shared" ref="F255:F261" si="60">D255*E255</f>
        <v>0.85199999999999998</v>
      </c>
      <c r="G255" s="41" t="s">
        <v>69</v>
      </c>
      <c r="H255" s="41">
        <v>0</v>
      </c>
      <c r="I255" s="41">
        <v>0</v>
      </c>
      <c r="J255" s="41">
        <f>$F255*H255</f>
        <v>0</v>
      </c>
      <c r="K255" s="41">
        <f t="shared" ref="K255:K261" si="61">$D255*I255</f>
        <v>0</v>
      </c>
      <c r="L255" s="41">
        <f t="shared" ref="L255:L261" si="62">J255+K255</f>
        <v>0</v>
      </c>
    </row>
    <row r="256" spans="1:244" s="81" customFormat="1" ht="37.5" x14ac:dyDescent="0.25">
      <c r="A256" s="54"/>
      <c r="B256" s="44" t="s">
        <v>309</v>
      </c>
      <c r="C256" s="41" t="s">
        <v>68</v>
      </c>
      <c r="D256" s="76">
        <f>CEILING(1.01*(1),1)</f>
        <v>2</v>
      </c>
      <c r="E256" s="45">
        <f>1.22</f>
        <v>1.22</v>
      </c>
      <c r="F256" s="55">
        <f t="shared" si="60"/>
        <v>2.44</v>
      </c>
      <c r="G256" s="41" t="s">
        <v>69</v>
      </c>
      <c r="H256" s="41">
        <v>0</v>
      </c>
      <c r="I256" s="41">
        <v>0</v>
      </c>
      <c r="J256" s="41">
        <f>$F256*H256</f>
        <v>0</v>
      </c>
      <c r="K256" s="41">
        <f t="shared" si="61"/>
        <v>0</v>
      </c>
      <c r="L256" s="41">
        <f t="shared" si="62"/>
        <v>0</v>
      </c>
    </row>
    <row r="257" spans="1:244" s="43" customFormat="1" ht="25" x14ac:dyDescent="0.25">
      <c r="A257" s="54"/>
      <c r="B257" s="40" t="s">
        <v>284</v>
      </c>
      <c r="C257" s="41" t="s">
        <v>68</v>
      </c>
      <c r="D257" s="76">
        <f>CEILING(1.01*(3),1)</f>
        <v>4</v>
      </c>
      <c r="E257" s="45">
        <v>1.2</v>
      </c>
      <c r="F257" s="55">
        <f t="shared" si="60"/>
        <v>4.8</v>
      </c>
      <c r="G257" s="41" t="s">
        <v>69</v>
      </c>
      <c r="H257" s="41">
        <v>0</v>
      </c>
      <c r="I257" s="41">
        <v>0</v>
      </c>
      <c r="J257" s="41">
        <f>$F257*H257</f>
        <v>0</v>
      </c>
      <c r="K257" s="41">
        <f t="shared" si="61"/>
        <v>0</v>
      </c>
      <c r="L257" s="41">
        <f t="shared" si="62"/>
        <v>0</v>
      </c>
    </row>
    <row r="258" spans="1:244" ht="25" x14ac:dyDescent="0.25">
      <c r="A258" s="84"/>
      <c r="B258" s="85" t="s">
        <v>106</v>
      </c>
      <c r="C258" s="41" t="s">
        <v>53</v>
      </c>
      <c r="D258" s="41">
        <f>4</f>
        <v>4</v>
      </c>
      <c r="E258" s="45">
        <f>ROUND(PI()/2*29/1000*1.2,2)</f>
        <v>0.05</v>
      </c>
      <c r="F258" s="55">
        <f t="shared" si="60"/>
        <v>0.2</v>
      </c>
      <c r="G258" s="41" t="s">
        <v>53</v>
      </c>
      <c r="H258" s="75">
        <v>0</v>
      </c>
      <c r="I258" s="75"/>
      <c r="J258" s="41">
        <f>$D258*H258</f>
        <v>0</v>
      </c>
      <c r="K258" s="41">
        <f t="shared" si="61"/>
        <v>0</v>
      </c>
      <c r="L258" s="41">
        <f t="shared" si="62"/>
        <v>0</v>
      </c>
      <c r="M258" s="84"/>
      <c r="N258" s="84"/>
      <c r="O258" s="84"/>
      <c r="P258" s="84"/>
      <c r="Q258" s="84"/>
      <c r="R258" s="84"/>
      <c r="S258" s="84"/>
      <c r="T258" s="84"/>
      <c r="U258" s="84"/>
      <c r="V258" s="84"/>
      <c r="W258" s="84"/>
      <c r="X258" s="84"/>
      <c r="Y258" s="84"/>
      <c r="Z258" s="84"/>
      <c r="AA258" s="84"/>
      <c r="AB258" s="84"/>
      <c r="AC258" s="84"/>
      <c r="AD258" s="84"/>
      <c r="AE258" s="84"/>
      <c r="AF258" s="84"/>
      <c r="AG258" s="84"/>
      <c r="AH258" s="84"/>
      <c r="AI258" s="84"/>
      <c r="AJ258" s="84"/>
      <c r="AK258" s="84"/>
      <c r="AL258" s="84"/>
      <c r="AM258" s="84"/>
      <c r="AN258" s="84"/>
      <c r="AO258" s="84"/>
      <c r="AP258" s="84"/>
      <c r="AQ258" s="84"/>
      <c r="AR258" s="84"/>
      <c r="AS258" s="84"/>
      <c r="AT258" s="84"/>
      <c r="AU258" s="84"/>
      <c r="AV258" s="84"/>
      <c r="AW258" s="84"/>
      <c r="AX258" s="84"/>
      <c r="AY258" s="84"/>
      <c r="AZ258" s="84"/>
      <c r="BA258" s="84"/>
      <c r="BB258" s="84"/>
      <c r="BC258" s="84"/>
      <c r="BD258" s="84"/>
      <c r="BE258" s="84"/>
      <c r="BF258" s="84"/>
      <c r="BG258" s="84"/>
      <c r="BH258" s="84"/>
      <c r="BI258" s="84"/>
      <c r="BJ258" s="84"/>
      <c r="BK258" s="84"/>
      <c r="BL258" s="84"/>
      <c r="BM258" s="84"/>
      <c r="BN258" s="84"/>
      <c r="BO258" s="84"/>
      <c r="BP258" s="84"/>
      <c r="BQ258" s="84"/>
      <c r="BR258" s="84"/>
      <c r="BS258" s="84"/>
      <c r="BT258" s="84"/>
      <c r="BU258" s="84"/>
      <c r="BV258" s="84"/>
      <c r="BW258" s="84"/>
      <c r="BX258" s="84"/>
      <c r="BY258" s="84"/>
      <c r="BZ258" s="84"/>
      <c r="CA258" s="84"/>
      <c r="CB258" s="84"/>
      <c r="CC258" s="84"/>
      <c r="CD258" s="84"/>
      <c r="CE258" s="84"/>
      <c r="CF258" s="84"/>
      <c r="CG258" s="84"/>
      <c r="CH258" s="84"/>
      <c r="CI258" s="84"/>
      <c r="CJ258" s="84"/>
      <c r="CK258" s="84"/>
      <c r="CL258" s="84"/>
      <c r="CM258" s="84"/>
      <c r="CN258" s="84"/>
      <c r="CO258" s="84"/>
      <c r="CP258" s="84"/>
      <c r="CQ258" s="84"/>
      <c r="CR258" s="84"/>
      <c r="CS258" s="84"/>
      <c r="CT258" s="84"/>
      <c r="CU258" s="84"/>
      <c r="CV258" s="84"/>
      <c r="CW258" s="84"/>
      <c r="CX258" s="84"/>
      <c r="CY258" s="84"/>
      <c r="CZ258" s="84"/>
      <c r="DA258" s="84"/>
      <c r="DB258" s="84"/>
      <c r="DC258" s="84"/>
      <c r="DD258" s="84"/>
      <c r="DE258" s="84"/>
      <c r="DF258" s="84"/>
      <c r="DG258" s="84"/>
      <c r="DH258" s="84"/>
      <c r="DI258" s="84"/>
      <c r="DJ258" s="84"/>
      <c r="DK258" s="84"/>
      <c r="DL258" s="84"/>
      <c r="DM258" s="84"/>
      <c r="DN258" s="84"/>
      <c r="DO258" s="84"/>
      <c r="DP258" s="84"/>
      <c r="DQ258" s="84"/>
      <c r="DR258" s="84"/>
      <c r="DS258" s="84"/>
      <c r="DT258" s="84"/>
      <c r="DU258" s="84"/>
      <c r="DV258" s="84"/>
      <c r="DW258" s="84"/>
      <c r="DX258" s="84"/>
      <c r="DY258" s="84"/>
      <c r="DZ258" s="84"/>
      <c r="EA258" s="84"/>
      <c r="EB258" s="84"/>
      <c r="EC258" s="84"/>
      <c r="ED258" s="84"/>
      <c r="EE258" s="84"/>
      <c r="EF258" s="84"/>
      <c r="EG258" s="84"/>
      <c r="EH258" s="84"/>
      <c r="EI258" s="84"/>
      <c r="EJ258" s="84"/>
      <c r="EK258" s="84"/>
      <c r="EL258" s="84"/>
      <c r="EM258" s="84"/>
      <c r="EN258" s="84"/>
      <c r="EO258" s="84"/>
      <c r="EP258" s="84"/>
      <c r="EQ258" s="84"/>
      <c r="ER258" s="84"/>
      <c r="ES258" s="84"/>
      <c r="ET258" s="84"/>
      <c r="EU258" s="84"/>
      <c r="EV258" s="84"/>
      <c r="EW258" s="84"/>
      <c r="EX258" s="84"/>
      <c r="EY258" s="84"/>
      <c r="EZ258" s="84"/>
      <c r="FA258" s="84"/>
      <c r="FB258" s="84"/>
      <c r="FC258" s="84"/>
      <c r="FD258" s="84"/>
      <c r="FE258" s="84"/>
      <c r="FF258" s="84"/>
      <c r="FG258" s="84"/>
      <c r="FH258" s="84"/>
      <c r="FI258" s="84"/>
      <c r="FJ258" s="84"/>
      <c r="FK258" s="84"/>
      <c r="FL258" s="84"/>
      <c r="FM258" s="84"/>
      <c r="FN258" s="84"/>
      <c r="FO258" s="84"/>
      <c r="FP258" s="84"/>
      <c r="FQ258" s="84"/>
      <c r="FR258" s="84"/>
      <c r="FS258" s="84"/>
      <c r="FT258" s="84"/>
      <c r="FU258" s="84"/>
      <c r="FV258" s="84"/>
      <c r="FW258" s="84"/>
      <c r="FX258" s="84"/>
      <c r="FY258" s="84"/>
      <c r="FZ258" s="84"/>
      <c r="GA258" s="84"/>
      <c r="GB258" s="84"/>
      <c r="GC258" s="84"/>
      <c r="GD258" s="84"/>
      <c r="GE258" s="84"/>
      <c r="GF258" s="84"/>
      <c r="GG258" s="84"/>
      <c r="GH258" s="84"/>
      <c r="GI258" s="84"/>
      <c r="GJ258" s="84"/>
      <c r="GK258" s="84"/>
      <c r="GL258" s="84"/>
      <c r="GM258" s="84"/>
      <c r="GN258" s="84"/>
      <c r="GO258" s="84"/>
      <c r="GP258" s="84"/>
      <c r="GQ258" s="84"/>
      <c r="GR258" s="84"/>
      <c r="GS258" s="84"/>
      <c r="GT258" s="84"/>
      <c r="GU258" s="84"/>
      <c r="GV258" s="84"/>
      <c r="GW258" s="84"/>
      <c r="GX258" s="84"/>
      <c r="GY258" s="84"/>
      <c r="GZ258" s="84"/>
      <c r="HA258" s="84"/>
      <c r="HB258" s="84"/>
      <c r="HC258" s="84"/>
      <c r="HD258" s="84"/>
      <c r="HE258" s="84"/>
      <c r="HF258" s="84"/>
      <c r="HG258" s="84"/>
      <c r="HH258" s="84"/>
      <c r="HI258" s="84"/>
      <c r="HJ258" s="84"/>
      <c r="HK258" s="84"/>
      <c r="HL258" s="84"/>
      <c r="HM258" s="84"/>
      <c r="HN258" s="84"/>
      <c r="HO258" s="84"/>
      <c r="HP258" s="84"/>
      <c r="HQ258" s="84"/>
      <c r="HR258" s="84"/>
      <c r="HS258" s="84"/>
      <c r="HT258" s="84"/>
      <c r="HU258" s="84"/>
      <c r="HV258" s="84"/>
      <c r="HW258" s="84"/>
      <c r="HX258" s="84"/>
      <c r="HY258" s="84"/>
      <c r="HZ258" s="84"/>
      <c r="IA258" s="84"/>
      <c r="IB258" s="84"/>
      <c r="IC258" s="84"/>
      <c r="ID258" s="84"/>
      <c r="IE258" s="84"/>
      <c r="IF258" s="84"/>
      <c r="IG258" s="84"/>
      <c r="IH258" s="84"/>
      <c r="II258" s="84"/>
      <c r="IJ258" s="84"/>
    </row>
    <row r="259" spans="1:244" s="81" customFormat="1" ht="25" x14ac:dyDescent="0.25">
      <c r="A259" s="54"/>
      <c r="B259" s="44" t="s">
        <v>233</v>
      </c>
      <c r="C259" s="41" t="s">
        <v>53</v>
      </c>
      <c r="D259" s="76">
        <f>2</f>
        <v>2</v>
      </c>
      <c r="E259" s="45">
        <v>0.04</v>
      </c>
      <c r="F259" s="45">
        <f t="shared" si="60"/>
        <v>0.08</v>
      </c>
      <c r="G259" s="41" t="s">
        <v>53</v>
      </c>
      <c r="H259" s="41">
        <v>0</v>
      </c>
      <c r="I259" s="41">
        <v>0</v>
      </c>
      <c r="J259" s="41">
        <f>$D259*H259</f>
        <v>0</v>
      </c>
      <c r="K259" s="41">
        <f t="shared" si="61"/>
        <v>0</v>
      </c>
      <c r="L259" s="41">
        <f t="shared" si="62"/>
        <v>0</v>
      </c>
    </row>
    <row r="260" spans="1:244" s="81" customFormat="1" ht="25" x14ac:dyDescent="0.25">
      <c r="A260" s="54"/>
      <c r="B260" s="44" t="s">
        <v>232</v>
      </c>
      <c r="C260" s="41" t="s">
        <v>53</v>
      </c>
      <c r="D260" s="76">
        <f>D259</f>
        <v>2</v>
      </c>
      <c r="E260" s="45">
        <v>0.13</v>
      </c>
      <c r="F260" s="45">
        <f t="shared" si="60"/>
        <v>0.26</v>
      </c>
      <c r="G260" s="41" t="s">
        <v>53</v>
      </c>
      <c r="H260" s="41">
        <v>0</v>
      </c>
      <c r="I260" s="41">
        <v>0</v>
      </c>
      <c r="J260" s="41">
        <f>$D260*H260</f>
        <v>0</v>
      </c>
      <c r="K260" s="41">
        <f t="shared" si="61"/>
        <v>0</v>
      </c>
      <c r="L260" s="41">
        <f t="shared" si="62"/>
        <v>0</v>
      </c>
    </row>
    <row r="261" spans="1:244" s="81" customFormat="1" ht="28.5" x14ac:dyDescent="0.25">
      <c r="A261" s="54"/>
      <c r="B261" s="44" t="s">
        <v>230</v>
      </c>
      <c r="C261" s="41" t="s">
        <v>53</v>
      </c>
      <c r="D261" s="76">
        <f>2</f>
        <v>2</v>
      </c>
      <c r="E261" s="45">
        <v>0.14399999999999999</v>
      </c>
      <c r="F261" s="45">
        <f t="shared" si="60"/>
        <v>0.28799999999999998</v>
      </c>
      <c r="G261" s="41" t="s">
        <v>53</v>
      </c>
      <c r="H261" s="41">
        <v>0</v>
      </c>
      <c r="I261" s="41">
        <v>0</v>
      </c>
      <c r="J261" s="41">
        <f>$D261*H261</f>
        <v>0</v>
      </c>
      <c r="K261" s="41">
        <f t="shared" si="61"/>
        <v>0</v>
      </c>
      <c r="L261" s="41">
        <f t="shared" si="62"/>
        <v>0</v>
      </c>
    </row>
    <row r="262" spans="1:244" x14ac:dyDescent="0.25">
      <c r="A262" s="54"/>
      <c r="B262" s="44"/>
      <c r="C262" s="41"/>
      <c r="D262" s="46"/>
      <c r="E262" s="45"/>
      <c r="F262" s="55"/>
      <c r="G262" s="41"/>
      <c r="H262" s="41"/>
      <c r="I262" s="41"/>
      <c r="J262" s="41"/>
      <c r="K262" s="41"/>
      <c r="L262" s="41"/>
      <c r="M262" s="81"/>
      <c r="N262" s="81"/>
      <c r="O262" s="81"/>
      <c r="P262" s="81"/>
      <c r="Q262" s="81"/>
      <c r="R262" s="81"/>
      <c r="S262" s="81"/>
      <c r="T262" s="81"/>
      <c r="U262" s="81"/>
      <c r="V262" s="81"/>
      <c r="W262" s="81"/>
      <c r="X262" s="81"/>
      <c r="Y262" s="81"/>
      <c r="Z262" s="81"/>
      <c r="AA262" s="81"/>
      <c r="AB262" s="81"/>
      <c r="AC262" s="81"/>
      <c r="AD262" s="81"/>
      <c r="AE262" s="81"/>
      <c r="AF262" s="81"/>
      <c r="AG262" s="81"/>
      <c r="AH262" s="81"/>
      <c r="AI262" s="81"/>
      <c r="AJ262" s="81"/>
      <c r="AK262" s="81"/>
      <c r="AL262" s="81"/>
      <c r="AM262" s="81"/>
      <c r="AN262" s="81"/>
      <c r="AO262" s="81"/>
      <c r="AP262" s="81"/>
      <c r="AQ262" s="81"/>
      <c r="AR262" s="81"/>
      <c r="AS262" s="81"/>
      <c r="AT262" s="81"/>
      <c r="AU262" s="81"/>
      <c r="AV262" s="81"/>
      <c r="AW262" s="81"/>
      <c r="AX262" s="81"/>
      <c r="AY262" s="81"/>
      <c r="AZ262" s="81"/>
      <c r="BA262" s="81"/>
      <c r="BB262" s="81"/>
      <c r="BC262" s="81"/>
      <c r="BD262" s="81"/>
      <c r="BE262" s="81"/>
      <c r="BF262" s="81"/>
      <c r="BG262" s="81"/>
      <c r="BH262" s="81"/>
      <c r="BI262" s="81"/>
      <c r="BJ262" s="81"/>
      <c r="BK262" s="81"/>
      <c r="BL262" s="81"/>
      <c r="BM262" s="81"/>
      <c r="BN262" s="81"/>
      <c r="BO262" s="81"/>
      <c r="BP262" s="81"/>
      <c r="BQ262" s="81"/>
      <c r="BR262" s="81"/>
      <c r="BS262" s="81"/>
      <c r="BT262" s="81"/>
      <c r="BU262" s="81"/>
      <c r="BV262" s="81"/>
      <c r="BW262" s="81"/>
      <c r="BX262" s="81"/>
      <c r="BY262" s="81"/>
      <c r="BZ262" s="81"/>
      <c r="CA262" s="81"/>
      <c r="CB262" s="81"/>
      <c r="CC262" s="81"/>
      <c r="CD262" s="81"/>
      <c r="CE262" s="81"/>
      <c r="CF262" s="81"/>
      <c r="CG262" s="81"/>
      <c r="CH262" s="81"/>
      <c r="CI262" s="81"/>
      <c r="CJ262" s="81"/>
      <c r="CK262" s="81"/>
      <c r="CL262" s="81"/>
      <c r="CM262" s="81"/>
      <c r="CN262" s="81"/>
      <c r="CO262" s="81"/>
      <c r="CP262" s="81"/>
      <c r="CQ262" s="81"/>
      <c r="CR262" s="81"/>
      <c r="CS262" s="81"/>
      <c r="CT262" s="81"/>
      <c r="CU262" s="81"/>
      <c r="CV262" s="81"/>
      <c r="CW262" s="81"/>
      <c r="CX262" s="81"/>
      <c r="CY262" s="81"/>
      <c r="CZ262" s="81"/>
      <c r="DA262" s="81"/>
      <c r="DB262" s="81"/>
      <c r="DC262" s="81"/>
      <c r="DD262" s="81"/>
      <c r="DE262" s="81"/>
      <c r="DF262" s="81"/>
      <c r="DG262" s="81"/>
      <c r="DH262" s="81"/>
      <c r="DI262" s="81"/>
      <c r="DJ262" s="81"/>
      <c r="DK262" s="81"/>
      <c r="DL262" s="81"/>
      <c r="DM262" s="81"/>
      <c r="DN262" s="81"/>
      <c r="DO262" s="81"/>
      <c r="DP262" s="81"/>
      <c r="DQ262" s="81"/>
      <c r="DR262" s="81"/>
      <c r="DS262" s="81"/>
      <c r="DT262" s="81"/>
      <c r="DU262" s="81"/>
      <c r="DV262" s="81"/>
      <c r="DW262" s="81"/>
      <c r="DX262" s="81"/>
      <c r="DY262" s="81"/>
      <c r="DZ262" s="81"/>
      <c r="EA262" s="81"/>
      <c r="EB262" s="81"/>
      <c r="EC262" s="81"/>
      <c r="ED262" s="81"/>
      <c r="EE262" s="81"/>
      <c r="EF262" s="81"/>
      <c r="EG262" s="81"/>
      <c r="EH262" s="81"/>
      <c r="EI262" s="81"/>
      <c r="EJ262" s="81"/>
      <c r="EK262" s="81"/>
      <c r="EL262" s="81"/>
      <c r="EM262" s="81"/>
      <c r="EN262" s="81"/>
      <c r="EO262" s="81"/>
      <c r="EP262" s="81"/>
      <c r="EQ262" s="81"/>
      <c r="ER262" s="81"/>
      <c r="ES262" s="81"/>
      <c r="ET262" s="81"/>
      <c r="EU262" s="81"/>
      <c r="EV262" s="81"/>
      <c r="EW262" s="81"/>
      <c r="EX262" s="81"/>
      <c r="EY262" s="81"/>
      <c r="EZ262" s="81"/>
      <c r="FA262" s="81"/>
      <c r="FB262" s="81"/>
      <c r="FC262" s="81"/>
      <c r="FD262" s="81"/>
      <c r="FE262" s="81"/>
      <c r="FF262" s="81"/>
      <c r="FG262" s="81"/>
      <c r="FH262" s="81"/>
      <c r="FI262" s="81"/>
      <c r="FJ262" s="81"/>
      <c r="FK262" s="81"/>
      <c r="FL262" s="81"/>
      <c r="FM262" s="81"/>
      <c r="FN262" s="81"/>
      <c r="FO262" s="81"/>
      <c r="FP262" s="81"/>
      <c r="FQ262" s="81"/>
      <c r="FR262" s="81"/>
      <c r="FS262" s="81"/>
      <c r="FT262" s="81"/>
      <c r="FU262" s="81"/>
      <c r="FV262" s="81"/>
      <c r="FW262" s="81"/>
      <c r="FX262" s="81"/>
      <c r="FY262" s="81"/>
      <c r="FZ262" s="81"/>
      <c r="GA262" s="81"/>
      <c r="GB262" s="81"/>
      <c r="GC262" s="81"/>
      <c r="GD262" s="81"/>
      <c r="GE262" s="81"/>
      <c r="GF262" s="81"/>
      <c r="GG262" s="81"/>
      <c r="GH262" s="81"/>
      <c r="GI262" s="81"/>
      <c r="GJ262" s="81"/>
      <c r="GK262" s="81"/>
      <c r="GL262" s="81"/>
      <c r="GM262" s="81"/>
      <c r="GN262" s="81"/>
      <c r="GO262" s="81"/>
      <c r="GP262" s="81"/>
      <c r="GQ262" s="81"/>
      <c r="GR262" s="81"/>
      <c r="GS262" s="81"/>
      <c r="GT262" s="81"/>
      <c r="GU262" s="81"/>
      <c r="GV262" s="81"/>
      <c r="GW262" s="81"/>
      <c r="GX262" s="81"/>
      <c r="GY262" s="81"/>
      <c r="GZ262" s="81"/>
      <c r="HA262" s="81"/>
      <c r="HB262" s="81"/>
      <c r="HC262" s="81"/>
      <c r="HD262" s="81"/>
      <c r="HE262" s="81"/>
      <c r="HF262" s="81"/>
      <c r="HG262" s="81"/>
      <c r="HH262" s="81"/>
      <c r="HI262" s="81"/>
      <c r="HJ262" s="81"/>
      <c r="HK262" s="81"/>
      <c r="HL262" s="81"/>
      <c r="HM262" s="81"/>
      <c r="HN262" s="81"/>
      <c r="HO262" s="81"/>
      <c r="HP262" s="81"/>
      <c r="HQ262" s="81"/>
      <c r="HR262" s="81"/>
      <c r="HS262" s="81"/>
      <c r="HT262" s="81"/>
      <c r="HU262" s="81"/>
      <c r="HV262" s="81"/>
      <c r="HW262" s="81"/>
      <c r="HX262" s="81"/>
      <c r="HY262" s="81"/>
      <c r="HZ262" s="81"/>
      <c r="IA262" s="81"/>
      <c r="IB262" s="81"/>
      <c r="IC262" s="81"/>
      <c r="ID262" s="81"/>
      <c r="IE262" s="81"/>
      <c r="IF262" s="81"/>
      <c r="IG262" s="81"/>
      <c r="IH262" s="81"/>
      <c r="II262" s="81"/>
      <c r="IJ262" s="81"/>
    </row>
    <row r="263" spans="1:244" ht="13" x14ac:dyDescent="0.25">
      <c r="A263" s="54"/>
      <c r="B263" s="94" t="s">
        <v>224</v>
      </c>
      <c r="C263" s="41"/>
      <c r="D263" s="41"/>
      <c r="E263" s="45"/>
      <c r="F263" s="55"/>
      <c r="G263" s="41"/>
      <c r="H263" s="41"/>
      <c r="I263" s="41"/>
      <c r="J263" s="41"/>
      <c r="K263" s="41"/>
      <c r="L263" s="41"/>
      <c r="M263" s="81"/>
      <c r="N263" s="81"/>
      <c r="O263" s="81"/>
      <c r="P263" s="81"/>
      <c r="Q263" s="81"/>
      <c r="R263" s="81"/>
      <c r="S263" s="81"/>
      <c r="T263" s="81"/>
      <c r="U263" s="81"/>
      <c r="V263" s="81"/>
      <c r="W263" s="81"/>
      <c r="X263" s="81"/>
      <c r="Y263" s="81"/>
      <c r="Z263" s="81"/>
      <c r="AA263" s="81"/>
      <c r="AB263" s="81"/>
      <c r="AC263" s="81"/>
      <c r="AD263" s="81"/>
      <c r="AE263" s="81"/>
      <c r="AF263" s="81"/>
      <c r="AG263" s="81"/>
      <c r="AH263" s="81"/>
      <c r="AI263" s="81"/>
      <c r="AJ263" s="81"/>
      <c r="AK263" s="81"/>
      <c r="AL263" s="81"/>
      <c r="AM263" s="81"/>
      <c r="AN263" s="81"/>
      <c r="AO263" s="81"/>
      <c r="AP263" s="81"/>
      <c r="AQ263" s="81"/>
      <c r="AR263" s="81"/>
      <c r="AS263" s="81"/>
      <c r="AT263" s="81"/>
      <c r="AU263" s="81"/>
      <c r="AV263" s="81"/>
      <c r="AW263" s="81"/>
      <c r="AX263" s="81"/>
      <c r="AY263" s="81"/>
      <c r="AZ263" s="81"/>
      <c r="BA263" s="81"/>
      <c r="BB263" s="81"/>
      <c r="BC263" s="81"/>
      <c r="BD263" s="81"/>
      <c r="BE263" s="81"/>
      <c r="BF263" s="81"/>
      <c r="BG263" s="81"/>
      <c r="BH263" s="81"/>
      <c r="BI263" s="81"/>
      <c r="BJ263" s="81"/>
      <c r="BK263" s="81"/>
      <c r="BL263" s="81"/>
      <c r="BM263" s="81"/>
      <c r="BN263" s="81"/>
      <c r="BO263" s="81"/>
      <c r="BP263" s="81"/>
      <c r="BQ263" s="81"/>
      <c r="BR263" s="81"/>
      <c r="BS263" s="81"/>
      <c r="BT263" s="81"/>
      <c r="BU263" s="81"/>
      <c r="BV263" s="81"/>
      <c r="BW263" s="81"/>
      <c r="BX263" s="81"/>
      <c r="BY263" s="81"/>
      <c r="BZ263" s="81"/>
      <c r="CA263" s="81"/>
      <c r="CB263" s="81"/>
      <c r="CC263" s="81"/>
      <c r="CD263" s="81"/>
      <c r="CE263" s="81"/>
      <c r="CF263" s="81"/>
      <c r="CG263" s="81"/>
      <c r="CH263" s="81"/>
      <c r="CI263" s="81"/>
      <c r="CJ263" s="81"/>
      <c r="CK263" s="81"/>
      <c r="CL263" s="81"/>
      <c r="CM263" s="81"/>
      <c r="CN263" s="81"/>
      <c r="CO263" s="81"/>
      <c r="CP263" s="81"/>
      <c r="CQ263" s="81"/>
      <c r="CR263" s="81"/>
      <c r="CS263" s="81"/>
      <c r="CT263" s="81"/>
      <c r="CU263" s="81"/>
      <c r="CV263" s="81"/>
      <c r="CW263" s="81"/>
      <c r="CX263" s="81"/>
      <c r="CY263" s="81"/>
      <c r="CZ263" s="81"/>
      <c r="DA263" s="81"/>
      <c r="DB263" s="81"/>
      <c r="DC263" s="81"/>
      <c r="DD263" s="81"/>
      <c r="DE263" s="81"/>
      <c r="DF263" s="81"/>
      <c r="DG263" s="81"/>
      <c r="DH263" s="81"/>
      <c r="DI263" s="81"/>
      <c r="DJ263" s="81"/>
      <c r="DK263" s="81"/>
      <c r="DL263" s="81"/>
      <c r="DM263" s="81"/>
      <c r="DN263" s="81"/>
      <c r="DO263" s="81"/>
      <c r="DP263" s="81"/>
      <c r="DQ263" s="81"/>
      <c r="DR263" s="81"/>
      <c r="DS263" s="81"/>
      <c r="DT263" s="81"/>
      <c r="DU263" s="81"/>
      <c r="DV263" s="81"/>
      <c r="DW263" s="81"/>
      <c r="DX263" s="81"/>
      <c r="DY263" s="81"/>
      <c r="DZ263" s="81"/>
      <c r="EA263" s="81"/>
      <c r="EB263" s="81"/>
      <c r="EC263" s="81"/>
      <c r="ED263" s="81"/>
      <c r="EE263" s="81"/>
      <c r="EF263" s="81"/>
      <c r="EG263" s="81"/>
      <c r="EH263" s="81"/>
      <c r="EI263" s="81"/>
      <c r="EJ263" s="81"/>
      <c r="EK263" s="81"/>
      <c r="EL263" s="81"/>
      <c r="EM263" s="81"/>
      <c r="EN263" s="81"/>
      <c r="EO263" s="81"/>
      <c r="EP263" s="81"/>
      <c r="EQ263" s="81"/>
      <c r="ER263" s="81"/>
      <c r="ES263" s="81"/>
      <c r="ET263" s="81"/>
      <c r="EU263" s="81"/>
      <c r="EV263" s="81"/>
      <c r="EW263" s="81"/>
      <c r="EX263" s="81"/>
      <c r="EY263" s="81"/>
      <c r="EZ263" s="81"/>
      <c r="FA263" s="81"/>
      <c r="FB263" s="81"/>
      <c r="FC263" s="81"/>
      <c r="FD263" s="81"/>
      <c r="FE263" s="81"/>
      <c r="FF263" s="81"/>
      <c r="FG263" s="81"/>
      <c r="FH263" s="81"/>
      <c r="FI263" s="81"/>
      <c r="FJ263" s="81"/>
      <c r="FK263" s="81"/>
      <c r="FL263" s="81"/>
      <c r="FM263" s="81"/>
      <c r="FN263" s="81"/>
      <c r="FO263" s="81"/>
      <c r="FP263" s="81"/>
      <c r="FQ263" s="81"/>
      <c r="FR263" s="81"/>
      <c r="FS263" s="81"/>
      <c r="FT263" s="81"/>
      <c r="FU263" s="81"/>
      <c r="FV263" s="81"/>
      <c r="FW263" s="81"/>
      <c r="FX263" s="81"/>
      <c r="FY263" s="81"/>
      <c r="FZ263" s="81"/>
      <c r="GA263" s="81"/>
      <c r="GB263" s="81"/>
      <c r="GC263" s="81"/>
      <c r="GD263" s="81"/>
      <c r="GE263" s="81"/>
      <c r="GF263" s="81"/>
      <c r="GG263" s="81"/>
      <c r="GH263" s="81"/>
      <c r="GI263" s="81"/>
      <c r="GJ263" s="81"/>
      <c r="GK263" s="81"/>
      <c r="GL263" s="81"/>
      <c r="GM263" s="81"/>
      <c r="GN263" s="81"/>
      <c r="GO263" s="81"/>
      <c r="GP263" s="81"/>
      <c r="GQ263" s="81"/>
      <c r="GR263" s="81"/>
      <c r="GS263" s="81"/>
      <c r="GT263" s="81"/>
      <c r="GU263" s="81"/>
      <c r="GV263" s="81"/>
      <c r="GW263" s="81"/>
      <c r="GX263" s="81"/>
      <c r="GY263" s="81"/>
      <c r="GZ263" s="81"/>
      <c r="HA263" s="81"/>
      <c r="HB263" s="81"/>
      <c r="HC263" s="81"/>
      <c r="HD263" s="81"/>
      <c r="HE263" s="81"/>
      <c r="HF263" s="81"/>
      <c r="HG263" s="81"/>
      <c r="HH263" s="81"/>
      <c r="HI263" s="81"/>
      <c r="HJ263" s="81"/>
      <c r="HK263" s="81"/>
      <c r="HL263" s="81"/>
      <c r="HM263" s="81"/>
      <c r="HN263" s="81"/>
      <c r="HO263" s="81"/>
      <c r="HP263" s="81"/>
      <c r="HQ263" s="81"/>
      <c r="HR263" s="81"/>
      <c r="HS263" s="81"/>
      <c r="HT263" s="81"/>
      <c r="HU263" s="81"/>
      <c r="HV263" s="81"/>
      <c r="HW263" s="81"/>
      <c r="HX263" s="81"/>
      <c r="HY263" s="81"/>
      <c r="HZ263" s="81"/>
      <c r="IA263" s="81"/>
      <c r="IB263" s="81"/>
      <c r="IC263" s="81"/>
      <c r="ID263" s="81"/>
      <c r="IE263" s="81"/>
      <c r="IF263" s="81"/>
      <c r="IG263" s="81"/>
      <c r="IH263" s="81"/>
      <c r="II263" s="81"/>
      <c r="IJ263" s="81"/>
    </row>
    <row r="264" spans="1:244" s="43" customFormat="1" ht="25" x14ac:dyDescent="0.25">
      <c r="A264" s="54"/>
      <c r="B264" s="40" t="s">
        <v>287</v>
      </c>
      <c r="C264" s="41" t="s">
        <v>68</v>
      </c>
      <c r="D264" s="76">
        <f>CEILING(1.01*(0.5),1)</f>
        <v>1</v>
      </c>
      <c r="E264" s="45">
        <v>2.5499999999999998</v>
      </c>
      <c r="F264" s="55">
        <f>D264*E264</f>
        <v>2.5499999999999998</v>
      </c>
      <c r="G264" s="41" t="s">
        <v>69</v>
      </c>
      <c r="H264" s="41">
        <v>0</v>
      </c>
      <c r="I264" s="41">
        <v>0</v>
      </c>
      <c r="J264" s="41">
        <f>$F264*H264</f>
        <v>0</v>
      </c>
      <c r="K264" s="41">
        <f t="shared" ref="K264:K272" si="63">$D264*I264</f>
        <v>0</v>
      </c>
      <c r="L264" s="41">
        <f>J264+K264</f>
        <v>0</v>
      </c>
    </row>
    <row r="265" spans="1:244" s="43" customFormat="1" ht="25" x14ac:dyDescent="0.25">
      <c r="A265" s="54"/>
      <c r="B265" s="44" t="s">
        <v>310</v>
      </c>
      <c r="C265" s="41" t="s">
        <v>68</v>
      </c>
      <c r="D265" s="76">
        <f>CEILING(1.01*(0.6+0.3+1.4+2.4+0.9+1.9+3*0.6+2.3+1.2+2.8+0.6+2*2.5+2.9+0.7+2.9+0.7),1)</f>
        <v>29</v>
      </c>
      <c r="E265" s="45">
        <v>2.93</v>
      </c>
      <c r="F265" s="55">
        <f t="shared" ref="F265:F276" si="64">D265*E265</f>
        <v>84.97</v>
      </c>
      <c r="G265" s="41" t="s">
        <v>69</v>
      </c>
      <c r="H265" s="41">
        <v>0</v>
      </c>
      <c r="I265" s="41">
        <v>0</v>
      </c>
      <c r="J265" s="41">
        <f>$F265*H265</f>
        <v>0</v>
      </c>
      <c r="K265" s="41">
        <f t="shared" si="63"/>
        <v>0</v>
      </c>
      <c r="L265" s="41">
        <f t="shared" ref="L265:L276" si="65">J265+K265</f>
        <v>0</v>
      </c>
      <c r="M265" s="81"/>
      <c r="N265" s="81"/>
      <c r="O265" s="81"/>
      <c r="P265" s="81"/>
      <c r="Q265" s="81"/>
      <c r="R265" s="81"/>
      <c r="S265" s="81"/>
      <c r="T265" s="81"/>
      <c r="U265" s="81"/>
      <c r="V265" s="81"/>
      <c r="W265" s="81"/>
      <c r="X265" s="81"/>
      <c r="Y265" s="81"/>
      <c r="Z265" s="81"/>
      <c r="AA265" s="81"/>
      <c r="AB265" s="81"/>
      <c r="AC265" s="81"/>
      <c r="AD265" s="81"/>
      <c r="AE265" s="81"/>
      <c r="AF265" s="81"/>
      <c r="AG265" s="81"/>
      <c r="AH265" s="81"/>
      <c r="AI265" s="81"/>
      <c r="AJ265" s="81"/>
      <c r="AK265" s="81"/>
      <c r="AL265" s="81"/>
      <c r="AM265" s="81"/>
      <c r="AN265" s="81"/>
      <c r="AO265" s="81"/>
      <c r="AP265" s="81"/>
      <c r="AQ265" s="81"/>
      <c r="AR265" s="81"/>
      <c r="AS265" s="81"/>
      <c r="AT265" s="81"/>
      <c r="AU265" s="81"/>
      <c r="AV265" s="81"/>
      <c r="AW265" s="81"/>
      <c r="AX265" s="81"/>
      <c r="AY265" s="81"/>
      <c r="AZ265" s="81"/>
      <c r="BA265" s="81"/>
      <c r="BB265" s="81"/>
      <c r="BC265" s="81"/>
      <c r="BD265" s="81"/>
      <c r="BE265" s="81"/>
      <c r="BF265" s="81"/>
      <c r="BG265" s="81"/>
      <c r="BH265" s="81"/>
      <c r="BI265" s="81"/>
      <c r="BJ265" s="81"/>
      <c r="BK265" s="81"/>
      <c r="BL265" s="81"/>
      <c r="BM265" s="81"/>
      <c r="BN265" s="81"/>
      <c r="BO265" s="81"/>
      <c r="BP265" s="81"/>
      <c r="BQ265" s="81"/>
      <c r="BR265" s="81"/>
      <c r="BS265" s="81"/>
      <c r="BT265" s="81"/>
      <c r="BU265" s="81"/>
      <c r="BV265" s="81"/>
      <c r="BW265" s="81"/>
      <c r="BX265" s="81"/>
      <c r="BY265" s="81"/>
      <c r="BZ265" s="81"/>
      <c r="CA265" s="81"/>
      <c r="CB265" s="81"/>
      <c r="CC265" s="81"/>
      <c r="CD265" s="81"/>
      <c r="CE265" s="81"/>
      <c r="CF265" s="81"/>
      <c r="CG265" s="81"/>
      <c r="CH265" s="81"/>
      <c r="CI265" s="81"/>
      <c r="CJ265" s="81"/>
      <c r="CK265" s="81"/>
      <c r="CL265" s="81"/>
      <c r="CM265" s="81"/>
      <c r="CN265" s="81"/>
      <c r="CO265" s="81"/>
      <c r="CP265" s="81"/>
      <c r="CQ265" s="81"/>
      <c r="CR265" s="81"/>
      <c r="CS265" s="81"/>
      <c r="CT265" s="81"/>
      <c r="CU265" s="81"/>
      <c r="CV265" s="81"/>
      <c r="CW265" s="81"/>
      <c r="CX265" s="81"/>
      <c r="CY265" s="81"/>
      <c r="CZ265" s="81"/>
      <c r="DA265" s="81"/>
      <c r="DB265" s="81"/>
      <c r="DC265" s="81"/>
      <c r="DD265" s="81"/>
      <c r="DE265" s="81"/>
      <c r="DF265" s="81"/>
      <c r="DG265" s="81"/>
      <c r="DH265" s="81"/>
      <c r="DI265" s="81"/>
      <c r="DJ265" s="81"/>
      <c r="DK265" s="81"/>
      <c r="DL265" s="81"/>
      <c r="DM265" s="81"/>
      <c r="DN265" s="81"/>
      <c r="DO265" s="81"/>
      <c r="DP265" s="81"/>
      <c r="DQ265" s="81"/>
      <c r="DR265" s="81"/>
      <c r="DS265" s="81"/>
      <c r="DT265" s="81"/>
      <c r="DU265" s="81"/>
      <c r="DV265" s="81"/>
      <c r="DW265" s="81"/>
      <c r="DX265" s="81"/>
      <c r="DY265" s="81"/>
      <c r="DZ265" s="81"/>
      <c r="EA265" s="81"/>
      <c r="EB265" s="81"/>
      <c r="EC265" s="81"/>
      <c r="ED265" s="81"/>
      <c r="EE265" s="81"/>
      <c r="EF265" s="81"/>
      <c r="EG265" s="81"/>
      <c r="EH265" s="81"/>
      <c r="EI265" s="81"/>
      <c r="EJ265" s="81"/>
      <c r="EK265" s="81"/>
      <c r="EL265" s="81"/>
      <c r="EM265" s="81"/>
      <c r="EN265" s="81"/>
      <c r="EO265" s="81"/>
      <c r="EP265" s="81"/>
      <c r="EQ265" s="81"/>
      <c r="ER265" s="81"/>
      <c r="ES265" s="81"/>
      <c r="ET265" s="81"/>
      <c r="EU265" s="81"/>
      <c r="EV265" s="81"/>
      <c r="EW265" s="81"/>
      <c r="EX265" s="81"/>
      <c r="EY265" s="81"/>
      <c r="EZ265" s="81"/>
      <c r="FA265" s="81"/>
      <c r="FB265" s="81"/>
      <c r="FC265" s="81"/>
      <c r="FD265" s="81"/>
      <c r="FE265" s="81"/>
      <c r="FF265" s="81"/>
      <c r="FG265" s="81"/>
      <c r="FH265" s="81"/>
      <c r="FI265" s="81"/>
      <c r="FJ265" s="81"/>
      <c r="FK265" s="81"/>
      <c r="FL265" s="81"/>
      <c r="FM265" s="81"/>
      <c r="FN265" s="81"/>
      <c r="FO265" s="81"/>
      <c r="FP265" s="81"/>
      <c r="FQ265" s="81"/>
      <c r="FR265" s="81"/>
      <c r="FS265" s="81"/>
      <c r="FT265" s="81"/>
      <c r="FU265" s="81"/>
      <c r="FV265" s="81"/>
      <c r="FW265" s="81"/>
      <c r="FX265" s="81"/>
      <c r="FY265" s="81"/>
      <c r="FZ265" s="81"/>
      <c r="GA265" s="81"/>
      <c r="GB265" s="81"/>
      <c r="GC265" s="81"/>
      <c r="GD265" s="81"/>
      <c r="GE265" s="81"/>
      <c r="GF265" s="81"/>
      <c r="GG265" s="81"/>
      <c r="GH265" s="81"/>
      <c r="GI265" s="81"/>
      <c r="GJ265" s="81"/>
      <c r="GK265" s="81"/>
      <c r="GL265" s="81"/>
      <c r="GM265" s="81"/>
      <c r="GN265" s="81"/>
      <c r="GO265" s="81"/>
      <c r="GP265" s="81"/>
      <c r="GQ265" s="81"/>
      <c r="GR265" s="81"/>
      <c r="GS265" s="81"/>
      <c r="GT265" s="81"/>
      <c r="GU265" s="81"/>
      <c r="GV265" s="81"/>
      <c r="GW265" s="81"/>
      <c r="GX265" s="81"/>
      <c r="GY265" s="81"/>
      <c r="GZ265" s="81"/>
      <c r="HA265" s="81"/>
      <c r="HB265" s="81"/>
      <c r="HC265" s="81"/>
      <c r="HD265" s="81"/>
      <c r="HE265" s="81"/>
      <c r="HF265" s="81"/>
      <c r="HG265" s="81"/>
      <c r="HH265" s="81"/>
      <c r="HI265" s="81"/>
      <c r="HJ265" s="81"/>
      <c r="HK265" s="81"/>
      <c r="HL265" s="81"/>
      <c r="HM265" s="81"/>
      <c r="HN265" s="81"/>
      <c r="HO265" s="81"/>
      <c r="HP265" s="81"/>
      <c r="HQ265" s="81"/>
      <c r="HR265" s="81"/>
      <c r="HS265" s="81"/>
      <c r="HT265" s="81"/>
      <c r="HU265" s="81"/>
      <c r="HV265" s="81"/>
      <c r="HW265" s="81"/>
      <c r="HX265" s="81"/>
      <c r="HY265" s="81"/>
      <c r="HZ265" s="81"/>
      <c r="IA265" s="81"/>
      <c r="IB265" s="81"/>
      <c r="IC265" s="81"/>
      <c r="ID265" s="81"/>
      <c r="IE265" s="81"/>
      <c r="IF265" s="81"/>
      <c r="IG265" s="81"/>
      <c r="IH265" s="81"/>
      <c r="II265" s="81"/>
      <c r="IJ265" s="81"/>
    </row>
    <row r="266" spans="1:244" s="43" customFormat="1" ht="25" x14ac:dyDescent="0.25">
      <c r="A266" s="84"/>
      <c r="B266" s="85" t="s">
        <v>225</v>
      </c>
      <c r="C266" s="41" t="s">
        <v>53</v>
      </c>
      <c r="D266" s="41">
        <f>14+16</f>
        <v>30</v>
      </c>
      <c r="E266" s="45">
        <f>ROUND(PI()/2*57/1000*2.93,2)</f>
        <v>0.26</v>
      </c>
      <c r="F266" s="41">
        <f t="shared" si="64"/>
        <v>7.8000000000000007</v>
      </c>
      <c r="G266" s="41" t="s">
        <v>53</v>
      </c>
      <c r="H266" s="75">
        <v>0</v>
      </c>
      <c r="I266" s="75">
        <v>0</v>
      </c>
      <c r="J266" s="41">
        <f t="shared" ref="J266:J272" si="66">$D266*H266</f>
        <v>0</v>
      </c>
      <c r="K266" s="41">
        <f t="shared" si="63"/>
        <v>0</v>
      </c>
      <c r="L266" s="41">
        <f t="shared" si="65"/>
        <v>0</v>
      </c>
      <c r="M266" s="84"/>
      <c r="N266" s="84"/>
      <c r="O266" s="84"/>
      <c r="P266" s="84"/>
      <c r="Q266" s="84"/>
      <c r="R266" s="84"/>
      <c r="S266" s="84"/>
      <c r="T266" s="84"/>
      <c r="U266" s="84"/>
      <c r="V266" s="84"/>
      <c r="W266" s="84"/>
      <c r="X266" s="84"/>
      <c r="Y266" s="84"/>
      <c r="Z266" s="84"/>
      <c r="AA266" s="84"/>
      <c r="AB266" s="84"/>
      <c r="AC266" s="84"/>
      <c r="AD266" s="84"/>
      <c r="AE266" s="84"/>
      <c r="AF266" s="84"/>
      <c r="AG266" s="84"/>
      <c r="AH266" s="84"/>
      <c r="AI266" s="84"/>
      <c r="AJ266" s="84"/>
      <c r="AK266" s="84"/>
      <c r="AL266" s="84"/>
      <c r="AM266" s="84"/>
      <c r="AN266" s="84"/>
      <c r="AO266" s="84"/>
      <c r="AP266" s="84"/>
      <c r="AQ266" s="84"/>
      <c r="AR266" s="84"/>
      <c r="AS266" s="84"/>
      <c r="AT266" s="84"/>
      <c r="AU266" s="84"/>
      <c r="AV266" s="84"/>
      <c r="AW266" s="84"/>
      <c r="AX266" s="84"/>
      <c r="AY266" s="84"/>
      <c r="AZ266" s="84"/>
      <c r="BA266" s="84"/>
      <c r="BB266" s="84"/>
      <c r="BC266" s="84"/>
      <c r="BD266" s="84"/>
      <c r="BE266" s="84"/>
      <c r="BF266" s="84"/>
      <c r="BG266" s="84"/>
      <c r="BH266" s="84"/>
      <c r="BI266" s="84"/>
      <c r="BJ266" s="84"/>
      <c r="BK266" s="84"/>
      <c r="BL266" s="84"/>
      <c r="BM266" s="84"/>
      <c r="BN266" s="84"/>
      <c r="BO266" s="84"/>
      <c r="BP266" s="84"/>
      <c r="BQ266" s="84"/>
      <c r="BR266" s="84"/>
      <c r="BS266" s="84"/>
      <c r="BT266" s="84"/>
      <c r="BU266" s="84"/>
      <c r="BV266" s="84"/>
      <c r="BW266" s="84"/>
      <c r="BX266" s="84"/>
      <c r="BY266" s="84"/>
      <c r="BZ266" s="84"/>
      <c r="CA266" s="84"/>
      <c r="CB266" s="84"/>
      <c r="CC266" s="84"/>
      <c r="CD266" s="84"/>
      <c r="CE266" s="84"/>
      <c r="CF266" s="84"/>
      <c r="CG266" s="84"/>
      <c r="CH266" s="84"/>
      <c r="CI266" s="84"/>
      <c r="CJ266" s="84"/>
      <c r="CK266" s="84"/>
      <c r="CL266" s="84"/>
      <c r="CM266" s="84"/>
      <c r="CN266" s="84"/>
      <c r="CO266" s="84"/>
      <c r="CP266" s="84"/>
      <c r="CQ266" s="84"/>
      <c r="CR266" s="84"/>
      <c r="CS266" s="84"/>
      <c r="CT266" s="84"/>
      <c r="CU266" s="84"/>
      <c r="CV266" s="84"/>
      <c r="CW266" s="84"/>
      <c r="CX266" s="84"/>
      <c r="CY266" s="84"/>
      <c r="CZ266" s="84"/>
      <c r="DA266" s="84"/>
      <c r="DB266" s="84"/>
      <c r="DC266" s="84"/>
      <c r="DD266" s="84"/>
      <c r="DE266" s="84"/>
      <c r="DF266" s="84"/>
      <c r="DG266" s="84"/>
      <c r="DH266" s="84"/>
      <c r="DI266" s="84"/>
      <c r="DJ266" s="84"/>
      <c r="DK266" s="84"/>
      <c r="DL266" s="84"/>
      <c r="DM266" s="84"/>
      <c r="DN266" s="84"/>
      <c r="DO266" s="84"/>
      <c r="DP266" s="84"/>
      <c r="DQ266" s="84"/>
      <c r="DR266" s="84"/>
      <c r="DS266" s="84"/>
      <c r="DT266" s="84"/>
      <c r="DU266" s="84"/>
      <c r="DV266" s="84"/>
      <c r="DW266" s="84"/>
      <c r="DX266" s="84"/>
      <c r="DY266" s="84"/>
      <c r="DZ266" s="84"/>
      <c r="EA266" s="84"/>
      <c r="EB266" s="84"/>
      <c r="EC266" s="84"/>
      <c r="ED266" s="84"/>
      <c r="EE266" s="84"/>
      <c r="EF266" s="84"/>
      <c r="EG266" s="84"/>
      <c r="EH266" s="84"/>
      <c r="EI266" s="84"/>
      <c r="EJ266" s="84"/>
      <c r="EK266" s="84"/>
      <c r="EL266" s="84"/>
      <c r="EM266" s="84"/>
      <c r="EN266" s="84"/>
      <c r="EO266" s="84"/>
      <c r="EP266" s="84"/>
      <c r="EQ266" s="84"/>
      <c r="ER266" s="84"/>
      <c r="ES266" s="84"/>
      <c r="ET266" s="84"/>
      <c r="EU266" s="84"/>
      <c r="EV266" s="84"/>
      <c r="EW266" s="84"/>
      <c r="EX266" s="84"/>
      <c r="EY266" s="84"/>
      <c r="EZ266" s="84"/>
      <c r="FA266" s="84"/>
      <c r="FB266" s="84"/>
      <c r="FC266" s="84"/>
      <c r="FD266" s="84"/>
      <c r="FE266" s="84"/>
      <c r="FF266" s="84"/>
      <c r="FG266" s="84"/>
      <c r="FH266" s="84"/>
      <c r="FI266" s="84"/>
      <c r="FJ266" s="84"/>
      <c r="FK266" s="84"/>
      <c r="FL266" s="84"/>
      <c r="FM266" s="84"/>
      <c r="FN266" s="84"/>
      <c r="FO266" s="84"/>
      <c r="FP266" s="84"/>
      <c r="FQ266" s="84"/>
      <c r="FR266" s="84"/>
      <c r="FS266" s="84"/>
      <c r="FT266" s="84"/>
      <c r="FU266" s="84"/>
      <c r="FV266" s="84"/>
      <c r="FW266" s="84"/>
      <c r="FX266" s="84"/>
      <c r="FY266" s="84"/>
      <c r="FZ266" s="84"/>
      <c r="GA266" s="84"/>
      <c r="GB266" s="84"/>
      <c r="GC266" s="84"/>
      <c r="GD266" s="84"/>
      <c r="GE266" s="84"/>
      <c r="GF266" s="84"/>
      <c r="GG266" s="84"/>
      <c r="GH266" s="84"/>
      <c r="GI266" s="84"/>
      <c r="GJ266" s="84"/>
      <c r="GK266" s="84"/>
      <c r="GL266" s="84"/>
      <c r="GM266" s="84"/>
      <c r="GN266" s="84"/>
      <c r="GO266" s="84"/>
      <c r="GP266" s="84"/>
      <c r="GQ266" s="84"/>
      <c r="GR266" s="84"/>
      <c r="GS266" s="84"/>
      <c r="GT266" s="84"/>
      <c r="GU266" s="84"/>
      <c r="GV266" s="84"/>
      <c r="GW266" s="84"/>
      <c r="GX266" s="84"/>
      <c r="GY266" s="84"/>
      <c r="GZ266" s="84"/>
      <c r="HA266" s="84"/>
      <c r="HB266" s="84"/>
      <c r="HC266" s="84"/>
      <c r="HD266" s="84"/>
      <c r="HE266" s="84"/>
      <c r="HF266" s="84"/>
      <c r="HG266" s="84"/>
      <c r="HH266" s="84"/>
      <c r="HI266" s="84"/>
      <c r="HJ266" s="84"/>
      <c r="HK266" s="84"/>
      <c r="HL266" s="84"/>
      <c r="HM266" s="84"/>
      <c r="HN266" s="84"/>
      <c r="HO266" s="84"/>
      <c r="HP266" s="84"/>
      <c r="HQ266" s="84"/>
      <c r="HR266" s="84"/>
      <c r="HS266" s="84"/>
      <c r="HT266" s="84"/>
      <c r="HU266" s="84"/>
      <c r="HV266" s="84"/>
      <c r="HW266" s="84"/>
      <c r="HX266" s="84"/>
      <c r="HY266" s="84"/>
      <c r="HZ266" s="84"/>
      <c r="IA266" s="84"/>
      <c r="IB266" s="84"/>
      <c r="IC266" s="84"/>
      <c r="ID266" s="84"/>
      <c r="IE266" s="84"/>
      <c r="IF266" s="84"/>
      <c r="IG266" s="84"/>
      <c r="IH266" s="84"/>
      <c r="II266" s="84"/>
      <c r="IJ266" s="84"/>
    </row>
    <row r="267" spans="1:244" s="81" customFormat="1" ht="25" x14ac:dyDescent="0.25">
      <c r="A267" s="84"/>
      <c r="B267" s="85" t="s">
        <v>109</v>
      </c>
      <c r="C267" s="41" t="s">
        <v>53</v>
      </c>
      <c r="D267" s="41">
        <f>2</f>
        <v>2</v>
      </c>
      <c r="E267" s="45">
        <f>ROUND(PI()/2*76/1000*4.11,2)</f>
        <v>0.49</v>
      </c>
      <c r="F267" s="55">
        <f t="shared" si="64"/>
        <v>0.98</v>
      </c>
      <c r="G267" s="41" t="s">
        <v>53</v>
      </c>
      <c r="H267" s="75">
        <v>0</v>
      </c>
      <c r="I267" s="75">
        <v>0</v>
      </c>
      <c r="J267" s="41">
        <f t="shared" si="66"/>
        <v>0</v>
      </c>
      <c r="K267" s="41">
        <f t="shared" si="63"/>
        <v>0</v>
      </c>
      <c r="L267" s="41">
        <f t="shared" si="65"/>
        <v>0</v>
      </c>
      <c r="M267" s="84"/>
      <c r="N267" s="84"/>
      <c r="O267" s="84"/>
      <c r="P267" s="84"/>
      <c r="Q267" s="84"/>
      <c r="R267" s="84"/>
      <c r="S267" s="84"/>
      <c r="T267" s="84"/>
      <c r="U267" s="84"/>
      <c r="V267" s="84"/>
      <c r="W267" s="84"/>
      <c r="X267" s="84"/>
      <c r="Y267" s="84"/>
      <c r="Z267" s="84"/>
      <c r="AA267" s="84"/>
      <c r="AB267" s="84"/>
      <c r="AC267" s="84"/>
      <c r="AD267" s="84"/>
      <c r="AE267" s="84"/>
      <c r="AF267" s="84"/>
      <c r="AG267" s="84"/>
      <c r="AH267" s="84"/>
      <c r="AI267" s="84"/>
      <c r="AJ267" s="84"/>
      <c r="AK267" s="84"/>
      <c r="AL267" s="84"/>
      <c r="AM267" s="84"/>
      <c r="AN267" s="84"/>
      <c r="AO267" s="84"/>
      <c r="AP267" s="84"/>
      <c r="AQ267" s="84"/>
      <c r="AR267" s="84"/>
      <c r="AS267" s="84"/>
      <c r="AT267" s="84"/>
      <c r="AU267" s="84"/>
      <c r="AV267" s="84"/>
      <c r="AW267" s="84"/>
      <c r="AX267" s="84"/>
      <c r="AY267" s="84"/>
      <c r="AZ267" s="84"/>
      <c r="BA267" s="84"/>
      <c r="BB267" s="84"/>
      <c r="BC267" s="84"/>
      <c r="BD267" s="84"/>
      <c r="BE267" s="84"/>
      <c r="BF267" s="84"/>
      <c r="BG267" s="84"/>
      <c r="BH267" s="84"/>
      <c r="BI267" s="84"/>
      <c r="BJ267" s="84"/>
      <c r="BK267" s="84"/>
      <c r="BL267" s="84"/>
      <c r="BM267" s="84"/>
      <c r="BN267" s="84"/>
      <c r="BO267" s="84"/>
      <c r="BP267" s="84"/>
      <c r="BQ267" s="84"/>
      <c r="BR267" s="84"/>
      <c r="BS267" s="84"/>
      <c r="BT267" s="84"/>
      <c r="BU267" s="84"/>
      <c r="BV267" s="84"/>
      <c r="BW267" s="84"/>
      <c r="BX267" s="84"/>
      <c r="BY267" s="84"/>
      <c r="BZ267" s="84"/>
      <c r="CA267" s="84"/>
      <c r="CB267" s="84"/>
      <c r="CC267" s="84"/>
      <c r="CD267" s="84"/>
      <c r="CE267" s="84"/>
      <c r="CF267" s="84"/>
      <c r="CG267" s="84"/>
      <c r="CH267" s="84"/>
      <c r="CI267" s="84"/>
      <c r="CJ267" s="84"/>
      <c r="CK267" s="84"/>
      <c r="CL267" s="84"/>
      <c r="CM267" s="84"/>
      <c r="CN267" s="84"/>
      <c r="CO267" s="84"/>
      <c r="CP267" s="84"/>
      <c r="CQ267" s="84"/>
      <c r="CR267" s="84"/>
      <c r="CS267" s="84"/>
      <c r="CT267" s="84"/>
      <c r="CU267" s="84"/>
      <c r="CV267" s="84"/>
      <c r="CW267" s="84"/>
      <c r="CX267" s="84"/>
      <c r="CY267" s="84"/>
      <c r="CZ267" s="84"/>
      <c r="DA267" s="84"/>
      <c r="DB267" s="84"/>
      <c r="DC267" s="84"/>
      <c r="DD267" s="84"/>
      <c r="DE267" s="84"/>
      <c r="DF267" s="84"/>
      <c r="DG267" s="84"/>
      <c r="DH267" s="84"/>
      <c r="DI267" s="84"/>
      <c r="DJ267" s="84"/>
      <c r="DK267" s="84"/>
      <c r="DL267" s="84"/>
      <c r="DM267" s="84"/>
      <c r="DN267" s="84"/>
      <c r="DO267" s="84"/>
      <c r="DP267" s="84"/>
      <c r="DQ267" s="84"/>
      <c r="DR267" s="84"/>
      <c r="DS267" s="84"/>
      <c r="DT267" s="84"/>
      <c r="DU267" s="84"/>
      <c r="DV267" s="84"/>
      <c r="DW267" s="84"/>
      <c r="DX267" s="84"/>
      <c r="DY267" s="84"/>
      <c r="DZ267" s="84"/>
      <c r="EA267" s="84"/>
      <c r="EB267" s="84"/>
      <c r="EC267" s="84"/>
      <c r="ED267" s="84"/>
      <c r="EE267" s="84"/>
      <c r="EF267" s="84"/>
      <c r="EG267" s="84"/>
      <c r="EH267" s="84"/>
      <c r="EI267" s="84"/>
      <c r="EJ267" s="84"/>
      <c r="EK267" s="84"/>
      <c r="EL267" s="84"/>
      <c r="EM267" s="84"/>
      <c r="EN267" s="84"/>
      <c r="EO267" s="84"/>
      <c r="EP267" s="84"/>
      <c r="EQ267" s="84"/>
      <c r="ER267" s="84"/>
      <c r="ES267" s="84"/>
      <c r="ET267" s="84"/>
      <c r="EU267" s="84"/>
      <c r="EV267" s="84"/>
      <c r="EW267" s="84"/>
      <c r="EX267" s="84"/>
      <c r="EY267" s="84"/>
      <c r="EZ267" s="84"/>
      <c r="FA267" s="84"/>
      <c r="FB267" s="84"/>
      <c r="FC267" s="84"/>
      <c r="FD267" s="84"/>
      <c r="FE267" s="84"/>
      <c r="FF267" s="84"/>
      <c r="FG267" s="84"/>
      <c r="FH267" s="84"/>
      <c r="FI267" s="84"/>
      <c r="FJ267" s="84"/>
      <c r="FK267" s="84"/>
      <c r="FL267" s="84"/>
      <c r="FM267" s="84"/>
      <c r="FN267" s="84"/>
      <c r="FO267" s="84"/>
      <c r="FP267" s="84"/>
      <c r="FQ267" s="84"/>
      <c r="FR267" s="84"/>
      <c r="FS267" s="84"/>
      <c r="FT267" s="84"/>
      <c r="FU267" s="84"/>
      <c r="FV267" s="84"/>
      <c r="FW267" s="84"/>
      <c r="FX267" s="84"/>
      <c r="FY267" s="84"/>
      <c r="FZ267" s="84"/>
      <c r="GA267" s="84"/>
      <c r="GB267" s="84"/>
      <c r="GC267" s="84"/>
      <c r="GD267" s="84"/>
      <c r="GE267" s="84"/>
      <c r="GF267" s="84"/>
      <c r="GG267" s="84"/>
      <c r="GH267" s="84"/>
      <c r="GI267" s="84"/>
      <c r="GJ267" s="84"/>
      <c r="GK267" s="84"/>
      <c r="GL267" s="84"/>
      <c r="GM267" s="84"/>
      <c r="GN267" s="84"/>
      <c r="GO267" s="84"/>
      <c r="GP267" s="84"/>
      <c r="GQ267" s="84"/>
      <c r="GR267" s="84"/>
      <c r="GS267" s="84"/>
      <c r="GT267" s="84"/>
      <c r="GU267" s="84"/>
      <c r="GV267" s="84"/>
      <c r="GW267" s="84"/>
      <c r="GX267" s="84"/>
      <c r="GY267" s="84"/>
      <c r="GZ267" s="84"/>
      <c r="HA267" s="84"/>
      <c r="HB267" s="84"/>
      <c r="HC267" s="84"/>
      <c r="HD267" s="84"/>
      <c r="HE267" s="84"/>
      <c r="HF267" s="84"/>
      <c r="HG267" s="84"/>
      <c r="HH267" s="84"/>
      <c r="HI267" s="84"/>
      <c r="HJ267" s="84"/>
      <c r="HK267" s="84"/>
      <c r="HL267" s="84"/>
      <c r="HM267" s="84"/>
      <c r="HN267" s="84"/>
      <c r="HO267" s="84"/>
      <c r="HP267" s="84"/>
      <c r="HQ267" s="84"/>
      <c r="HR267" s="84"/>
      <c r="HS267" s="84"/>
      <c r="HT267" s="84"/>
      <c r="HU267" s="84"/>
      <c r="HV267" s="84"/>
      <c r="HW267" s="84"/>
      <c r="HX267" s="84"/>
      <c r="HY267" s="84"/>
      <c r="HZ267" s="84"/>
      <c r="IA267" s="84"/>
      <c r="IB267" s="84"/>
      <c r="IC267" s="84"/>
      <c r="ID267" s="84"/>
      <c r="IE267" s="84"/>
      <c r="IF267" s="84"/>
      <c r="IG267" s="84"/>
      <c r="IH267" s="84"/>
      <c r="II267" s="84"/>
      <c r="IJ267" s="84"/>
    </row>
    <row r="268" spans="1:244" s="43" customFormat="1" ht="37.5" x14ac:dyDescent="0.25">
      <c r="A268" s="54"/>
      <c r="B268" s="44" t="s">
        <v>340</v>
      </c>
      <c r="C268" s="41" t="s">
        <v>53</v>
      </c>
      <c r="D268" s="41">
        <f>4</f>
        <v>4</v>
      </c>
      <c r="E268" s="45">
        <f>ROUND(64/1000*2.93,2)</f>
        <v>0.19</v>
      </c>
      <c r="F268" s="55">
        <f t="shared" si="64"/>
        <v>0.76</v>
      </c>
      <c r="G268" s="41" t="s">
        <v>53</v>
      </c>
      <c r="H268" s="41">
        <v>0</v>
      </c>
      <c r="I268" s="41">
        <v>0</v>
      </c>
      <c r="J268" s="41">
        <f t="shared" si="66"/>
        <v>0</v>
      </c>
      <c r="K268" s="41">
        <f t="shared" si="63"/>
        <v>0</v>
      </c>
      <c r="L268" s="41">
        <f t="shared" si="65"/>
        <v>0</v>
      </c>
    </row>
    <row r="269" spans="1:244" s="81" customFormat="1" ht="37.5" x14ac:dyDescent="0.25">
      <c r="A269" s="54"/>
      <c r="B269" s="44" t="s">
        <v>226</v>
      </c>
      <c r="C269" s="41" t="s">
        <v>53</v>
      </c>
      <c r="D269" s="41">
        <f>6+2</f>
        <v>8</v>
      </c>
      <c r="E269" s="45">
        <f>ROUND(76/1000*4.1,2)</f>
        <v>0.31</v>
      </c>
      <c r="F269" s="55">
        <f t="shared" si="64"/>
        <v>2.48</v>
      </c>
      <c r="G269" s="41" t="s">
        <v>53</v>
      </c>
      <c r="H269" s="41">
        <v>0</v>
      </c>
      <c r="I269" s="41">
        <v>0</v>
      </c>
      <c r="J269" s="41">
        <f t="shared" si="66"/>
        <v>0</v>
      </c>
      <c r="K269" s="41">
        <f t="shared" si="63"/>
        <v>0</v>
      </c>
      <c r="L269" s="41">
        <f t="shared" si="65"/>
        <v>0</v>
      </c>
    </row>
    <row r="270" spans="1:244" s="43" customFormat="1" ht="25" x14ac:dyDescent="0.25">
      <c r="A270" s="54"/>
      <c r="B270" s="44" t="s">
        <v>386</v>
      </c>
      <c r="C270" s="41" t="s">
        <v>53</v>
      </c>
      <c r="D270" s="41">
        <f>4</f>
        <v>4</v>
      </c>
      <c r="E270" s="45">
        <v>2</v>
      </c>
      <c r="F270" s="55">
        <f>D270*E270</f>
        <v>8</v>
      </c>
      <c r="G270" s="41" t="s">
        <v>53</v>
      </c>
      <c r="H270" s="41">
        <v>0</v>
      </c>
      <c r="I270" s="41">
        <v>0</v>
      </c>
      <c r="J270" s="41">
        <f t="shared" si="66"/>
        <v>0</v>
      </c>
      <c r="K270" s="41">
        <f t="shared" si="63"/>
        <v>0</v>
      </c>
      <c r="L270" s="41">
        <f>J270+K270</f>
        <v>0</v>
      </c>
    </row>
    <row r="271" spans="1:244" s="81" customFormat="1" ht="25" x14ac:dyDescent="0.25">
      <c r="A271" s="54"/>
      <c r="B271" s="44" t="s">
        <v>227</v>
      </c>
      <c r="C271" s="41" t="s">
        <v>53</v>
      </c>
      <c r="D271" s="41">
        <f>4</f>
        <v>4</v>
      </c>
      <c r="E271" s="45">
        <v>2</v>
      </c>
      <c r="F271" s="55">
        <f>D271*E271</f>
        <v>8</v>
      </c>
      <c r="G271" s="41" t="s">
        <v>53</v>
      </c>
      <c r="H271" s="41">
        <v>0</v>
      </c>
      <c r="I271" s="41">
        <v>0</v>
      </c>
      <c r="J271" s="41">
        <f t="shared" si="66"/>
        <v>0</v>
      </c>
      <c r="K271" s="41">
        <f t="shared" si="63"/>
        <v>0</v>
      </c>
      <c r="L271" s="41">
        <f>J271+K271</f>
        <v>0</v>
      </c>
    </row>
    <row r="272" spans="1:244" s="43" customFormat="1" ht="25" x14ac:dyDescent="0.25">
      <c r="A272" s="54"/>
      <c r="B272" s="44" t="s">
        <v>385</v>
      </c>
      <c r="C272" s="41" t="s">
        <v>53</v>
      </c>
      <c r="D272" s="41">
        <f>6</f>
        <v>6</v>
      </c>
      <c r="E272" s="45">
        <v>2.79</v>
      </c>
      <c r="F272" s="55">
        <f>D272*E272</f>
        <v>16.740000000000002</v>
      </c>
      <c r="G272" s="41" t="s">
        <v>53</v>
      </c>
      <c r="H272" s="41">
        <v>0</v>
      </c>
      <c r="I272" s="41">
        <v>0</v>
      </c>
      <c r="J272" s="41">
        <f t="shared" si="66"/>
        <v>0</v>
      </c>
      <c r="K272" s="41">
        <f t="shared" si="63"/>
        <v>0</v>
      </c>
      <c r="L272" s="41">
        <f>J272+K272</f>
        <v>0</v>
      </c>
    </row>
    <row r="273" spans="1:244" s="81" customFormat="1" ht="25" x14ac:dyDescent="0.25">
      <c r="A273" s="54"/>
      <c r="B273" s="40" t="s">
        <v>228</v>
      </c>
      <c r="C273" s="41" t="s">
        <v>53</v>
      </c>
      <c r="D273" s="41">
        <f>4</f>
        <v>4</v>
      </c>
      <c r="E273" s="45">
        <v>0.36</v>
      </c>
      <c r="F273" s="45">
        <f t="shared" si="64"/>
        <v>1.44</v>
      </c>
      <c r="G273" s="41" t="s">
        <v>53</v>
      </c>
      <c r="H273" s="41">
        <v>0</v>
      </c>
      <c r="I273" s="41">
        <v>0</v>
      </c>
      <c r="J273" s="41">
        <f t="shared" ref="J273:K276" si="67">$D273*H273</f>
        <v>0</v>
      </c>
      <c r="K273" s="41">
        <f t="shared" si="67"/>
        <v>0</v>
      </c>
      <c r="L273" s="41">
        <f t="shared" si="65"/>
        <v>0</v>
      </c>
    </row>
    <row r="274" spans="1:244" s="81" customFormat="1" ht="28.5" x14ac:dyDescent="0.25">
      <c r="A274" s="54"/>
      <c r="B274" s="44" t="s">
        <v>229</v>
      </c>
      <c r="C274" s="41" t="s">
        <v>53</v>
      </c>
      <c r="D274" s="41">
        <f>2</f>
        <v>2</v>
      </c>
      <c r="E274" s="45">
        <v>7.6999999999999999E-2</v>
      </c>
      <c r="F274" s="45">
        <f t="shared" si="64"/>
        <v>0.154</v>
      </c>
      <c r="G274" s="41" t="s">
        <v>53</v>
      </c>
      <c r="H274" s="41">
        <v>0</v>
      </c>
      <c r="I274" s="41">
        <v>0</v>
      </c>
      <c r="J274" s="41">
        <f t="shared" si="67"/>
        <v>0</v>
      </c>
      <c r="K274" s="41">
        <f t="shared" si="67"/>
        <v>0</v>
      </c>
      <c r="L274" s="41">
        <f t="shared" si="65"/>
        <v>0</v>
      </c>
    </row>
    <row r="275" spans="1:244" s="81" customFormat="1" ht="28.5" x14ac:dyDescent="0.25">
      <c r="A275" s="54"/>
      <c r="B275" s="44" t="s">
        <v>230</v>
      </c>
      <c r="C275" s="41" t="s">
        <v>53</v>
      </c>
      <c r="D275" s="41">
        <f>4</f>
        <v>4</v>
      </c>
      <c r="E275" s="45">
        <v>0.14399999999999999</v>
      </c>
      <c r="F275" s="45">
        <f t="shared" si="64"/>
        <v>0.57599999999999996</v>
      </c>
      <c r="G275" s="41" t="s">
        <v>53</v>
      </c>
      <c r="H275" s="41">
        <v>0</v>
      </c>
      <c r="I275" s="41">
        <v>0</v>
      </c>
      <c r="J275" s="41">
        <f t="shared" si="67"/>
        <v>0</v>
      </c>
      <c r="K275" s="41">
        <f t="shared" si="67"/>
        <v>0</v>
      </c>
      <c r="L275" s="41">
        <f t="shared" si="65"/>
        <v>0</v>
      </c>
    </row>
    <row r="276" spans="1:244" s="81" customFormat="1" ht="25" x14ac:dyDescent="0.25">
      <c r="A276" s="54"/>
      <c r="B276" s="44" t="s">
        <v>231</v>
      </c>
      <c r="C276" s="41" t="s">
        <v>53</v>
      </c>
      <c r="D276" s="41">
        <f>4</f>
        <v>4</v>
      </c>
      <c r="E276" s="45">
        <v>0.252</v>
      </c>
      <c r="F276" s="45">
        <f t="shared" si="64"/>
        <v>1.008</v>
      </c>
      <c r="G276" s="41" t="s">
        <v>53</v>
      </c>
      <c r="H276" s="41">
        <v>0</v>
      </c>
      <c r="I276" s="41">
        <v>0</v>
      </c>
      <c r="J276" s="41">
        <f t="shared" si="67"/>
        <v>0</v>
      </c>
      <c r="K276" s="41">
        <f t="shared" si="67"/>
        <v>0</v>
      </c>
      <c r="L276" s="41">
        <f t="shared" si="65"/>
        <v>0</v>
      </c>
    </row>
    <row r="277" spans="1:244" s="81" customFormat="1" x14ac:dyDescent="0.25">
      <c r="A277" s="84"/>
      <c r="B277" s="85"/>
      <c r="C277" s="41"/>
      <c r="D277" s="41"/>
      <c r="E277" s="45"/>
      <c r="F277" s="41"/>
      <c r="G277" s="41"/>
      <c r="H277" s="75"/>
      <c r="I277" s="75"/>
      <c r="J277" s="41"/>
      <c r="K277" s="41"/>
      <c r="L277" s="41"/>
      <c r="M277" s="84"/>
      <c r="N277" s="84"/>
      <c r="O277" s="84"/>
      <c r="P277" s="84"/>
      <c r="Q277" s="84"/>
      <c r="R277" s="84"/>
      <c r="S277" s="84"/>
      <c r="T277" s="84"/>
      <c r="U277" s="84"/>
      <c r="V277" s="84"/>
      <c r="W277" s="84"/>
      <c r="X277" s="84"/>
      <c r="Y277" s="84"/>
      <c r="Z277" s="84"/>
      <c r="AA277" s="84"/>
      <c r="AB277" s="84"/>
      <c r="AC277" s="84"/>
      <c r="AD277" s="84"/>
      <c r="AE277" s="84"/>
      <c r="AF277" s="84"/>
      <c r="AG277" s="84"/>
      <c r="AH277" s="84"/>
      <c r="AI277" s="84"/>
      <c r="AJ277" s="84"/>
      <c r="AK277" s="84"/>
      <c r="AL277" s="84"/>
      <c r="AM277" s="84"/>
      <c r="AN277" s="84"/>
      <c r="AO277" s="84"/>
      <c r="AP277" s="84"/>
      <c r="AQ277" s="84"/>
      <c r="AR277" s="84"/>
      <c r="AS277" s="84"/>
      <c r="AT277" s="84"/>
      <c r="AU277" s="84"/>
      <c r="AV277" s="84"/>
      <c r="AW277" s="84"/>
      <c r="AX277" s="84"/>
      <c r="AY277" s="84"/>
      <c r="AZ277" s="84"/>
      <c r="BA277" s="84"/>
      <c r="BB277" s="84"/>
      <c r="BC277" s="84"/>
      <c r="BD277" s="84"/>
      <c r="BE277" s="84"/>
      <c r="BF277" s="84"/>
      <c r="BG277" s="84"/>
      <c r="BH277" s="84"/>
      <c r="BI277" s="84"/>
      <c r="BJ277" s="84"/>
      <c r="BK277" s="84"/>
      <c r="BL277" s="84"/>
      <c r="BM277" s="84"/>
      <c r="BN277" s="84"/>
      <c r="BO277" s="84"/>
      <c r="BP277" s="84"/>
      <c r="BQ277" s="84"/>
      <c r="BR277" s="84"/>
      <c r="BS277" s="84"/>
      <c r="BT277" s="84"/>
      <c r="BU277" s="84"/>
      <c r="BV277" s="84"/>
      <c r="BW277" s="84"/>
      <c r="BX277" s="84"/>
      <c r="BY277" s="84"/>
      <c r="BZ277" s="84"/>
      <c r="CA277" s="84"/>
      <c r="CB277" s="84"/>
      <c r="CC277" s="84"/>
      <c r="CD277" s="84"/>
      <c r="CE277" s="84"/>
      <c r="CF277" s="84"/>
      <c r="CG277" s="84"/>
      <c r="CH277" s="84"/>
      <c r="CI277" s="84"/>
      <c r="CJ277" s="84"/>
      <c r="CK277" s="84"/>
      <c r="CL277" s="84"/>
      <c r="CM277" s="84"/>
      <c r="CN277" s="84"/>
      <c r="CO277" s="84"/>
      <c r="CP277" s="84"/>
      <c r="CQ277" s="84"/>
      <c r="CR277" s="84"/>
      <c r="CS277" s="84"/>
      <c r="CT277" s="84"/>
      <c r="CU277" s="84"/>
      <c r="CV277" s="84"/>
      <c r="CW277" s="84"/>
      <c r="CX277" s="84"/>
      <c r="CY277" s="84"/>
      <c r="CZ277" s="84"/>
      <c r="DA277" s="84"/>
      <c r="DB277" s="84"/>
      <c r="DC277" s="84"/>
      <c r="DD277" s="84"/>
      <c r="DE277" s="84"/>
      <c r="DF277" s="84"/>
      <c r="DG277" s="84"/>
      <c r="DH277" s="84"/>
      <c r="DI277" s="84"/>
      <c r="DJ277" s="84"/>
      <c r="DK277" s="84"/>
      <c r="DL277" s="84"/>
      <c r="DM277" s="84"/>
      <c r="DN277" s="84"/>
      <c r="DO277" s="84"/>
      <c r="DP277" s="84"/>
      <c r="DQ277" s="84"/>
      <c r="DR277" s="84"/>
      <c r="DS277" s="84"/>
      <c r="DT277" s="84"/>
      <c r="DU277" s="84"/>
      <c r="DV277" s="84"/>
      <c r="DW277" s="84"/>
      <c r="DX277" s="84"/>
      <c r="DY277" s="84"/>
      <c r="DZ277" s="84"/>
      <c r="EA277" s="84"/>
      <c r="EB277" s="84"/>
      <c r="EC277" s="84"/>
      <c r="ED277" s="84"/>
      <c r="EE277" s="84"/>
      <c r="EF277" s="84"/>
      <c r="EG277" s="84"/>
      <c r="EH277" s="84"/>
      <c r="EI277" s="84"/>
      <c r="EJ277" s="84"/>
      <c r="EK277" s="84"/>
      <c r="EL277" s="84"/>
      <c r="EM277" s="84"/>
      <c r="EN277" s="84"/>
      <c r="EO277" s="84"/>
      <c r="EP277" s="84"/>
      <c r="EQ277" s="84"/>
      <c r="ER277" s="84"/>
      <c r="ES277" s="84"/>
      <c r="ET277" s="84"/>
      <c r="EU277" s="84"/>
      <c r="EV277" s="84"/>
      <c r="EW277" s="84"/>
      <c r="EX277" s="84"/>
      <c r="EY277" s="84"/>
      <c r="EZ277" s="84"/>
      <c r="FA277" s="84"/>
      <c r="FB277" s="84"/>
      <c r="FC277" s="84"/>
      <c r="FD277" s="84"/>
      <c r="FE277" s="84"/>
      <c r="FF277" s="84"/>
      <c r="FG277" s="84"/>
      <c r="FH277" s="84"/>
      <c r="FI277" s="84"/>
      <c r="FJ277" s="84"/>
      <c r="FK277" s="84"/>
      <c r="FL277" s="84"/>
      <c r="FM277" s="84"/>
      <c r="FN277" s="84"/>
      <c r="FO277" s="84"/>
      <c r="FP277" s="84"/>
      <c r="FQ277" s="84"/>
      <c r="FR277" s="84"/>
      <c r="FS277" s="84"/>
      <c r="FT277" s="84"/>
      <c r="FU277" s="84"/>
      <c r="FV277" s="84"/>
      <c r="FW277" s="84"/>
      <c r="FX277" s="84"/>
      <c r="FY277" s="84"/>
      <c r="FZ277" s="84"/>
      <c r="GA277" s="84"/>
      <c r="GB277" s="84"/>
      <c r="GC277" s="84"/>
      <c r="GD277" s="84"/>
      <c r="GE277" s="84"/>
      <c r="GF277" s="84"/>
      <c r="GG277" s="84"/>
      <c r="GH277" s="84"/>
      <c r="GI277" s="84"/>
      <c r="GJ277" s="84"/>
      <c r="GK277" s="84"/>
      <c r="GL277" s="84"/>
      <c r="GM277" s="84"/>
      <c r="GN277" s="84"/>
      <c r="GO277" s="84"/>
      <c r="GP277" s="84"/>
      <c r="GQ277" s="84"/>
      <c r="GR277" s="84"/>
      <c r="GS277" s="84"/>
      <c r="GT277" s="84"/>
      <c r="GU277" s="84"/>
      <c r="GV277" s="84"/>
      <c r="GW277" s="84"/>
      <c r="GX277" s="84"/>
      <c r="GY277" s="84"/>
      <c r="GZ277" s="84"/>
      <c r="HA277" s="84"/>
      <c r="HB277" s="84"/>
      <c r="HC277" s="84"/>
      <c r="HD277" s="84"/>
      <c r="HE277" s="84"/>
      <c r="HF277" s="84"/>
      <c r="HG277" s="84"/>
      <c r="HH277" s="84"/>
      <c r="HI277" s="84"/>
      <c r="HJ277" s="84"/>
      <c r="HK277" s="84"/>
      <c r="HL277" s="84"/>
      <c r="HM277" s="84"/>
      <c r="HN277" s="84"/>
      <c r="HO277" s="84"/>
      <c r="HP277" s="84"/>
      <c r="HQ277" s="84"/>
      <c r="HR277" s="84"/>
      <c r="HS277" s="84"/>
      <c r="HT277" s="84"/>
      <c r="HU277" s="84"/>
      <c r="HV277" s="84"/>
      <c r="HW277" s="84"/>
      <c r="HX277" s="84"/>
      <c r="HY277" s="84"/>
      <c r="HZ277" s="84"/>
      <c r="IA277" s="84"/>
      <c r="IB277" s="84"/>
      <c r="IC277" s="84"/>
      <c r="ID277" s="84"/>
      <c r="IE277" s="84"/>
      <c r="IF277" s="84"/>
      <c r="IG277" s="84"/>
      <c r="IH277" s="84"/>
      <c r="II277" s="84"/>
      <c r="IJ277" s="84"/>
    </row>
    <row r="278" spans="1:244" s="81" customFormat="1" ht="13" x14ac:dyDescent="0.25">
      <c r="A278" s="54"/>
      <c r="B278" s="94" t="s">
        <v>235</v>
      </c>
      <c r="C278" s="41"/>
      <c r="D278" s="41"/>
      <c r="E278" s="45"/>
      <c r="F278" s="55"/>
      <c r="G278" s="41"/>
      <c r="H278" s="41"/>
      <c r="I278" s="41"/>
      <c r="J278" s="41"/>
      <c r="K278" s="41"/>
      <c r="L278" s="41"/>
    </row>
    <row r="279" spans="1:244" s="43" customFormat="1" ht="28.5" x14ac:dyDescent="0.25">
      <c r="A279" s="54"/>
      <c r="B279" s="44" t="s">
        <v>400</v>
      </c>
      <c r="C279" s="41" t="s">
        <v>68</v>
      </c>
      <c r="D279" s="46">
        <f>2</f>
        <v>2</v>
      </c>
      <c r="E279" s="45">
        <f>0.164</f>
        <v>0.16400000000000001</v>
      </c>
      <c r="F279" s="55">
        <f>D279*E279</f>
        <v>0.32800000000000001</v>
      </c>
      <c r="G279" s="41" t="s">
        <v>142</v>
      </c>
      <c r="H279" s="41">
        <v>0</v>
      </c>
      <c r="I279" s="41">
        <v>0</v>
      </c>
      <c r="J279" s="41">
        <f>$D279*H279</f>
        <v>0</v>
      </c>
      <c r="K279" s="41">
        <f>$D279*I279</f>
        <v>0</v>
      </c>
      <c r="L279" s="41">
        <f>J279+K279</f>
        <v>0</v>
      </c>
    </row>
    <row r="280" spans="1:244" s="81" customFormat="1" ht="25" x14ac:dyDescent="0.25">
      <c r="A280" s="54"/>
      <c r="B280" s="44" t="s">
        <v>401</v>
      </c>
      <c r="C280" s="41" t="s">
        <v>68</v>
      </c>
      <c r="D280" s="46">
        <f>CEILING((3+2+2+1),1)</f>
        <v>8</v>
      </c>
      <c r="E280" s="45">
        <f>0.261</f>
        <v>0.26100000000000001</v>
      </c>
      <c r="F280" s="55">
        <f t="shared" ref="F280:F285" si="68">D280*E280</f>
        <v>2.0880000000000001</v>
      </c>
      <c r="G280" s="41" t="s">
        <v>142</v>
      </c>
      <c r="H280" s="41">
        <v>0</v>
      </c>
      <c r="I280" s="41">
        <v>0</v>
      </c>
      <c r="J280" s="41">
        <f t="shared" ref="J280:K295" si="69">$D280*H280</f>
        <v>0</v>
      </c>
      <c r="K280" s="41">
        <f t="shared" si="69"/>
        <v>0</v>
      </c>
      <c r="L280" s="41">
        <f t="shared" ref="L280:L285" si="70">J280+K280</f>
        <v>0</v>
      </c>
    </row>
    <row r="281" spans="1:244" s="81" customFormat="1" ht="28.5" x14ac:dyDescent="0.25">
      <c r="A281" s="54"/>
      <c r="B281" s="44" t="s">
        <v>402</v>
      </c>
      <c r="C281" s="41" t="s">
        <v>68</v>
      </c>
      <c r="D281" s="46">
        <f>CEILING((4+5+2*2.75+0.5+3.5+2),1)</f>
        <v>21</v>
      </c>
      <c r="E281" s="45">
        <f>0.412</f>
        <v>0.41199999999999998</v>
      </c>
      <c r="F281" s="55">
        <f t="shared" si="68"/>
        <v>8.6519999999999992</v>
      </c>
      <c r="G281" s="41" t="s">
        <v>142</v>
      </c>
      <c r="H281" s="41">
        <v>0</v>
      </c>
      <c r="I281" s="41">
        <v>0</v>
      </c>
      <c r="J281" s="41">
        <f t="shared" si="69"/>
        <v>0</v>
      </c>
      <c r="K281" s="41">
        <f t="shared" si="69"/>
        <v>0</v>
      </c>
      <c r="L281" s="41">
        <f t="shared" si="70"/>
        <v>0</v>
      </c>
    </row>
    <row r="282" spans="1:244" s="81" customFormat="1" ht="25" x14ac:dyDescent="0.25">
      <c r="A282" s="54"/>
      <c r="B282" s="44" t="s">
        <v>403</v>
      </c>
      <c r="C282" s="41" t="s">
        <v>68</v>
      </c>
      <c r="D282" s="46">
        <f>CEILING((0.5+3+0.5+1.2+3.2+6.5+1),1)</f>
        <v>16</v>
      </c>
      <c r="E282" s="45">
        <f>1.01</f>
        <v>1.01</v>
      </c>
      <c r="F282" s="55">
        <f t="shared" si="68"/>
        <v>16.16</v>
      </c>
      <c r="G282" s="41" t="s">
        <v>142</v>
      </c>
      <c r="H282" s="41">
        <v>0</v>
      </c>
      <c r="I282" s="41">
        <v>0</v>
      </c>
      <c r="J282" s="41">
        <f t="shared" si="69"/>
        <v>0</v>
      </c>
      <c r="K282" s="41">
        <f t="shared" si="69"/>
        <v>0</v>
      </c>
      <c r="L282" s="41">
        <f t="shared" si="70"/>
        <v>0</v>
      </c>
    </row>
    <row r="283" spans="1:244" s="43" customFormat="1" ht="13" x14ac:dyDescent="0.25">
      <c r="A283" s="54"/>
      <c r="B283" s="44" t="s">
        <v>388</v>
      </c>
      <c r="C283" s="42" t="s">
        <v>53</v>
      </c>
      <c r="D283" s="46">
        <f>2+2</f>
        <v>4</v>
      </c>
      <c r="E283" s="45">
        <v>2.9000000000000001E-2</v>
      </c>
      <c r="F283" s="55">
        <f t="shared" si="68"/>
        <v>0.11600000000000001</v>
      </c>
      <c r="G283" s="42" t="s">
        <v>53</v>
      </c>
      <c r="H283" s="41">
        <v>0</v>
      </c>
      <c r="I283" s="41">
        <v>0</v>
      </c>
      <c r="J283" s="41">
        <f t="shared" si="69"/>
        <v>0</v>
      </c>
      <c r="K283" s="41">
        <f t="shared" si="69"/>
        <v>0</v>
      </c>
      <c r="L283" s="41">
        <f t="shared" si="70"/>
        <v>0</v>
      </c>
    </row>
    <row r="284" spans="1:244" s="43" customFormat="1" ht="13" x14ac:dyDescent="0.25">
      <c r="A284" s="54"/>
      <c r="B284" s="44" t="s">
        <v>243</v>
      </c>
      <c r="C284" s="42" t="s">
        <v>53</v>
      </c>
      <c r="D284" s="46">
        <f>6+0</f>
        <v>6</v>
      </c>
      <c r="E284" s="45">
        <v>4.3999999999999997E-2</v>
      </c>
      <c r="F284" s="55">
        <f t="shared" si="68"/>
        <v>0.26400000000000001</v>
      </c>
      <c r="G284" s="42" t="s">
        <v>53</v>
      </c>
      <c r="H284" s="41">
        <v>0</v>
      </c>
      <c r="I284" s="41">
        <v>0</v>
      </c>
      <c r="J284" s="41">
        <f t="shared" si="69"/>
        <v>0</v>
      </c>
      <c r="K284" s="41">
        <f t="shared" si="69"/>
        <v>0</v>
      </c>
      <c r="L284" s="41">
        <f t="shared" si="70"/>
        <v>0</v>
      </c>
    </row>
    <row r="285" spans="1:244" s="81" customFormat="1" ht="13" x14ac:dyDescent="0.25">
      <c r="A285" s="54"/>
      <c r="B285" s="44" t="s">
        <v>236</v>
      </c>
      <c r="C285" s="42" t="s">
        <v>53</v>
      </c>
      <c r="D285" s="46">
        <f>6</f>
        <v>6</v>
      </c>
      <c r="E285" s="45">
        <v>7.3999999999999996E-2</v>
      </c>
      <c r="F285" s="55">
        <f t="shared" si="68"/>
        <v>0.44399999999999995</v>
      </c>
      <c r="G285" s="42" t="s">
        <v>53</v>
      </c>
      <c r="H285" s="41">
        <v>0</v>
      </c>
      <c r="I285" s="41">
        <v>0</v>
      </c>
      <c r="J285" s="41">
        <f t="shared" si="69"/>
        <v>0</v>
      </c>
      <c r="K285" s="41">
        <f t="shared" si="69"/>
        <v>0</v>
      </c>
      <c r="L285" s="41">
        <f t="shared" si="70"/>
        <v>0</v>
      </c>
    </row>
    <row r="286" spans="1:244" s="81" customFormat="1" x14ac:dyDescent="0.25">
      <c r="A286" s="54"/>
      <c r="B286" s="44" t="s">
        <v>237</v>
      </c>
      <c r="C286" s="42" t="s">
        <v>53</v>
      </c>
      <c r="D286" s="46">
        <f>5+6</f>
        <v>11</v>
      </c>
      <c r="E286" s="45">
        <v>0.23</v>
      </c>
      <c r="F286" s="55">
        <f t="shared" ref="F286:F305" si="71">D286*E286</f>
        <v>2.5300000000000002</v>
      </c>
      <c r="G286" s="42" t="s">
        <v>53</v>
      </c>
      <c r="H286" s="41">
        <v>0</v>
      </c>
      <c r="I286" s="41">
        <v>0</v>
      </c>
      <c r="J286" s="41">
        <f t="shared" ref="J286:K305" si="72">$D286*H286</f>
        <v>0</v>
      </c>
      <c r="K286" s="41">
        <f t="shared" si="69"/>
        <v>0</v>
      </c>
      <c r="L286" s="41">
        <f t="shared" ref="L286:L305" si="73">J286+K286</f>
        <v>0</v>
      </c>
    </row>
    <row r="287" spans="1:244" s="43" customFormat="1" ht="13" x14ac:dyDescent="0.25">
      <c r="A287" s="54"/>
      <c r="B287" s="44" t="s">
        <v>389</v>
      </c>
      <c r="C287" s="42" t="s">
        <v>53</v>
      </c>
      <c r="D287" s="46">
        <f>3+1</f>
        <v>4</v>
      </c>
      <c r="E287" s="45">
        <v>5.7000000000000002E-2</v>
      </c>
      <c r="F287" s="55">
        <f t="shared" si="71"/>
        <v>0.22800000000000001</v>
      </c>
      <c r="G287" s="42" t="s">
        <v>53</v>
      </c>
      <c r="H287" s="41">
        <v>0</v>
      </c>
      <c r="I287" s="41">
        <v>0</v>
      </c>
      <c r="J287" s="41">
        <f t="shared" si="72"/>
        <v>0</v>
      </c>
      <c r="K287" s="41">
        <f t="shared" si="69"/>
        <v>0</v>
      </c>
      <c r="L287" s="41">
        <f t="shared" si="73"/>
        <v>0</v>
      </c>
    </row>
    <row r="288" spans="1:244" s="43" customFormat="1" ht="13" x14ac:dyDescent="0.25">
      <c r="A288" s="54"/>
      <c r="B288" s="44" t="s">
        <v>244</v>
      </c>
      <c r="C288" s="42" t="s">
        <v>53</v>
      </c>
      <c r="D288" s="46">
        <f>2+1</f>
        <v>3</v>
      </c>
      <c r="E288" s="45">
        <v>9.5000000000000001E-2</v>
      </c>
      <c r="F288" s="55">
        <f t="shared" si="71"/>
        <v>0.28500000000000003</v>
      </c>
      <c r="G288" s="42" t="s">
        <v>53</v>
      </c>
      <c r="H288" s="41">
        <v>0</v>
      </c>
      <c r="I288" s="41">
        <v>0</v>
      </c>
      <c r="J288" s="41">
        <f t="shared" si="72"/>
        <v>0</v>
      </c>
      <c r="K288" s="41">
        <f t="shared" si="69"/>
        <v>0</v>
      </c>
      <c r="L288" s="41">
        <f t="shared" si="73"/>
        <v>0</v>
      </c>
    </row>
    <row r="289" spans="1:12" s="81" customFormat="1" ht="13" x14ac:dyDescent="0.25">
      <c r="A289" s="54"/>
      <c r="B289" s="44" t="s">
        <v>245</v>
      </c>
      <c r="C289" s="42" t="s">
        <v>53</v>
      </c>
      <c r="D289" s="46">
        <f>6</f>
        <v>6</v>
      </c>
      <c r="E289" s="45">
        <v>0.28599999999999998</v>
      </c>
      <c r="F289" s="55">
        <f t="shared" si="71"/>
        <v>1.7159999999999997</v>
      </c>
      <c r="G289" s="42" t="s">
        <v>53</v>
      </c>
      <c r="H289" s="41">
        <v>0</v>
      </c>
      <c r="I289" s="41">
        <v>0</v>
      </c>
      <c r="J289" s="41">
        <f t="shared" si="72"/>
        <v>0</v>
      </c>
      <c r="K289" s="41">
        <f t="shared" si="69"/>
        <v>0</v>
      </c>
      <c r="L289" s="41">
        <f t="shared" si="73"/>
        <v>0</v>
      </c>
    </row>
    <row r="290" spans="1:12" s="43" customFormat="1" ht="13" x14ac:dyDescent="0.25">
      <c r="A290" s="54"/>
      <c r="B290" s="44" t="s">
        <v>408</v>
      </c>
      <c r="C290" s="42" t="s">
        <v>53</v>
      </c>
      <c r="D290" s="46">
        <f>1</f>
        <v>1</v>
      </c>
      <c r="E290" s="45">
        <v>1.9E-2</v>
      </c>
      <c r="F290" s="55">
        <f t="shared" si="71"/>
        <v>1.9E-2</v>
      </c>
      <c r="G290" s="42" t="s">
        <v>53</v>
      </c>
      <c r="H290" s="41">
        <v>0</v>
      </c>
      <c r="I290" s="41">
        <v>0</v>
      </c>
      <c r="J290" s="41">
        <f t="shared" si="72"/>
        <v>0</v>
      </c>
      <c r="K290" s="41">
        <f t="shared" si="69"/>
        <v>0</v>
      </c>
      <c r="L290" s="41">
        <f t="shared" si="73"/>
        <v>0</v>
      </c>
    </row>
    <row r="291" spans="1:12" s="43" customFormat="1" ht="13" x14ac:dyDescent="0.25">
      <c r="A291" s="54"/>
      <c r="B291" s="44" t="s">
        <v>398</v>
      </c>
      <c r="C291" s="42" t="s">
        <v>53</v>
      </c>
      <c r="D291" s="46">
        <f>1</f>
        <v>1</v>
      </c>
      <c r="E291" s="45">
        <v>0.03</v>
      </c>
      <c r="F291" s="55">
        <f t="shared" si="71"/>
        <v>0.03</v>
      </c>
      <c r="G291" s="42" t="s">
        <v>53</v>
      </c>
      <c r="H291" s="41">
        <v>0</v>
      </c>
      <c r="I291" s="41">
        <v>0</v>
      </c>
      <c r="J291" s="41">
        <f t="shared" si="72"/>
        <v>0</v>
      </c>
      <c r="K291" s="41">
        <f t="shared" si="69"/>
        <v>0</v>
      </c>
      <c r="L291" s="41">
        <f t="shared" si="73"/>
        <v>0</v>
      </c>
    </row>
    <row r="292" spans="1:12" s="43" customFormat="1" ht="13" x14ac:dyDescent="0.25">
      <c r="A292" s="54"/>
      <c r="B292" s="44" t="s">
        <v>409</v>
      </c>
      <c r="C292" s="42" t="s">
        <v>53</v>
      </c>
      <c r="D292" s="46">
        <f>1+2</f>
        <v>3</v>
      </c>
      <c r="E292" s="45">
        <v>5.3999999999999999E-2</v>
      </c>
      <c r="F292" s="55">
        <f t="shared" si="71"/>
        <v>0.16200000000000001</v>
      </c>
      <c r="G292" s="42" t="s">
        <v>53</v>
      </c>
      <c r="H292" s="41">
        <v>0</v>
      </c>
      <c r="I292" s="41">
        <v>0</v>
      </c>
      <c r="J292" s="41">
        <f t="shared" si="72"/>
        <v>0</v>
      </c>
      <c r="K292" s="41">
        <f t="shared" si="69"/>
        <v>0</v>
      </c>
      <c r="L292" s="41">
        <f t="shared" si="73"/>
        <v>0</v>
      </c>
    </row>
    <row r="293" spans="1:12" s="43" customFormat="1" ht="13" x14ac:dyDescent="0.25">
      <c r="A293" s="54"/>
      <c r="B293" s="44" t="s">
        <v>410</v>
      </c>
      <c r="C293" s="42" t="s">
        <v>53</v>
      </c>
      <c r="D293" s="46">
        <f>1</f>
        <v>1</v>
      </c>
      <c r="E293" s="45">
        <v>6.2E-2</v>
      </c>
      <c r="F293" s="55">
        <f t="shared" si="71"/>
        <v>6.2E-2</v>
      </c>
      <c r="G293" s="42" t="s">
        <v>53</v>
      </c>
      <c r="H293" s="41">
        <v>0</v>
      </c>
      <c r="I293" s="41">
        <v>0</v>
      </c>
      <c r="J293" s="41">
        <f t="shared" si="72"/>
        <v>0</v>
      </c>
      <c r="K293" s="41">
        <f t="shared" si="69"/>
        <v>0</v>
      </c>
      <c r="L293" s="41">
        <f t="shared" si="73"/>
        <v>0</v>
      </c>
    </row>
    <row r="294" spans="1:12" s="43" customFormat="1" ht="13" x14ac:dyDescent="0.25">
      <c r="A294" s="54"/>
      <c r="B294" s="44" t="s">
        <v>411</v>
      </c>
      <c r="C294" s="42" t="s">
        <v>53</v>
      </c>
      <c r="D294" s="46">
        <f>1</f>
        <v>1</v>
      </c>
      <c r="E294" s="45">
        <v>6.8000000000000005E-2</v>
      </c>
      <c r="F294" s="55">
        <f t="shared" si="71"/>
        <v>6.8000000000000005E-2</v>
      </c>
      <c r="G294" s="42" t="s">
        <v>53</v>
      </c>
      <c r="H294" s="41">
        <v>0</v>
      </c>
      <c r="I294" s="41">
        <v>0</v>
      </c>
      <c r="J294" s="41">
        <f t="shared" si="72"/>
        <v>0</v>
      </c>
      <c r="K294" s="41">
        <f t="shared" si="69"/>
        <v>0</v>
      </c>
      <c r="L294" s="41">
        <f t="shared" si="73"/>
        <v>0</v>
      </c>
    </row>
    <row r="295" spans="1:12" s="43" customFormat="1" ht="13" x14ac:dyDescent="0.25">
      <c r="A295" s="54"/>
      <c r="B295" s="44" t="s">
        <v>418</v>
      </c>
      <c r="C295" s="42" t="s">
        <v>53</v>
      </c>
      <c r="D295" s="46">
        <f>1</f>
        <v>1</v>
      </c>
      <c r="E295" s="45">
        <v>9.8000000000000004E-2</v>
      </c>
      <c r="F295" s="55">
        <f t="shared" si="71"/>
        <v>9.8000000000000004E-2</v>
      </c>
      <c r="G295" s="42" t="s">
        <v>53</v>
      </c>
      <c r="H295" s="41">
        <v>0</v>
      </c>
      <c r="I295" s="41">
        <v>0</v>
      </c>
      <c r="J295" s="41">
        <f t="shared" si="72"/>
        <v>0</v>
      </c>
      <c r="K295" s="41">
        <f t="shared" si="69"/>
        <v>0</v>
      </c>
      <c r="L295" s="41">
        <f t="shared" si="73"/>
        <v>0</v>
      </c>
    </row>
    <row r="296" spans="1:12" s="43" customFormat="1" ht="13" x14ac:dyDescent="0.25">
      <c r="A296" s="54"/>
      <c r="B296" s="44" t="s">
        <v>407</v>
      </c>
      <c r="C296" s="42" t="s">
        <v>53</v>
      </c>
      <c r="D296" s="46">
        <v>1</v>
      </c>
      <c r="E296" s="45">
        <v>0.01</v>
      </c>
      <c r="F296" s="55">
        <f t="shared" si="71"/>
        <v>0.01</v>
      </c>
      <c r="G296" s="42" t="s">
        <v>53</v>
      </c>
      <c r="H296" s="41">
        <v>0</v>
      </c>
      <c r="I296" s="41">
        <v>0</v>
      </c>
      <c r="J296" s="41">
        <f t="shared" si="72"/>
        <v>0</v>
      </c>
      <c r="K296" s="41">
        <f t="shared" si="72"/>
        <v>0</v>
      </c>
      <c r="L296" s="41">
        <f t="shared" si="73"/>
        <v>0</v>
      </c>
    </row>
    <row r="297" spans="1:12" s="43" customFormat="1" ht="13" x14ac:dyDescent="0.25">
      <c r="A297" s="54"/>
      <c r="B297" s="44" t="s">
        <v>399</v>
      </c>
      <c r="C297" s="42" t="s">
        <v>53</v>
      </c>
      <c r="D297" s="46">
        <f>1</f>
        <v>1</v>
      </c>
      <c r="E297" s="45">
        <v>1.7000000000000001E-2</v>
      </c>
      <c r="F297" s="55">
        <f t="shared" si="71"/>
        <v>1.7000000000000001E-2</v>
      </c>
      <c r="G297" s="42" t="s">
        <v>53</v>
      </c>
      <c r="H297" s="41">
        <v>0</v>
      </c>
      <c r="I297" s="41">
        <v>0</v>
      </c>
      <c r="J297" s="41">
        <f t="shared" si="72"/>
        <v>0</v>
      </c>
      <c r="K297" s="41">
        <f t="shared" si="72"/>
        <v>0</v>
      </c>
      <c r="L297" s="41">
        <f t="shared" si="73"/>
        <v>0</v>
      </c>
    </row>
    <row r="298" spans="1:12" s="43" customFormat="1" ht="13" x14ac:dyDescent="0.25">
      <c r="A298" s="54"/>
      <c r="B298" s="44" t="s">
        <v>419</v>
      </c>
      <c r="C298" s="42" t="s">
        <v>53</v>
      </c>
      <c r="D298" s="46">
        <f>1</f>
        <v>1</v>
      </c>
      <c r="E298" s="45">
        <v>9.6000000000000002E-2</v>
      </c>
      <c r="F298" s="55">
        <f t="shared" ref="F298" si="74">D298*E298</f>
        <v>9.6000000000000002E-2</v>
      </c>
      <c r="G298" s="42" t="s">
        <v>53</v>
      </c>
      <c r="H298" s="41">
        <v>0</v>
      </c>
      <c r="I298" s="41">
        <v>0</v>
      </c>
      <c r="J298" s="41">
        <f t="shared" ref="J298" si="75">$D298*H298</f>
        <v>0</v>
      </c>
      <c r="K298" s="41">
        <f t="shared" si="72"/>
        <v>0</v>
      </c>
      <c r="L298" s="41">
        <f t="shared" ref="L298" si="76">J298+K298</f>
        <v>0</v>
      </c>
    </row>
    <row r="299" spans="1:12" s="43" customFormat="1" ht="13" x14ac:dyDescent="0.25">
      <c r="A299" s="54"/>
      <c r="B299" s="44" t="s">
        <v>387</v>
      </c>
      <c r="C299" s="42" t="s">
        <v>53</v>
      </c>
      <c r="D299" s="46">
        <f>CEILING(D279/3,1)</f>
        <v>1</v>
      </c>
      <c r="E299" s="45">
        <v>1.9E-2</v>
      </c>
      <c r="F299" s="55">
        <f t="shared" si="71"/>
        <v>1.9E-2</v>
      </c>
      <c r="G299" s="42" t="s">
        <v>53</v>
      </c>
      <c r="H299" s="41">
        <v>0</v>
      </c>
      <c r="I299" s="41">
        <v>0</v>
      </c>
      <c r="J299" s="41">
        <f t="shared" si="72"/>
        <v>0</v>
      </c>
      <c r="K299" s="41">
        <f t="shared" si="72"/>
        <v>0</v>
      </c>
      <c r="L299" s="41">
        <f t="shared" si="73"/>
        <v>0</v>
      </c>
    </row>
    <row r="300" spans="1:12" s="81" customFormat="1" ht="13" x14ac:dyDescent="0.25">
      <c r="A300" s="54"/>
      <c r="B300" s="44" t="s">
        <v>241</v>
      </c>
      <c r="C300" s="42" t="s">
        <v>53</v>
      </c>
      <c r="D300" s="46">
        <f>CEILING(D280/3,1)</f>
        <v>3</v>
      </c>
      <c r="E300" s="45">
        <v>2.5999999999999999E-2</v>
      </c>
      <c r="F300" s="55">
        <f t="shared" si="71"/>
        <v>7.8E-2</v>
      </c>
      <c r="G300" s="42" t="s">
        <v>53</v>
      </c>
      <c r="H300" s="41">
        <v>0</v>
      </c>
      <c r="I300" s="41">
        <v>0</v>
      </c>
      <c r="J300" s="41">
        <f t="shared" si="72"/>
        <v>0</v>
      </c>
      <c r="K300" s="41">
        <f t="shared" si="72"/>
        <v>0</v>
      </c>
      <c r="L300" s="41">
        <f t="shared" si="73"/>
        <v>0</v>
      </c>
    </row>
    <row r="301" spans="1:12" s="81" customFormat="1" ht="13" x14ac:dyDescent="0.25">
      <c r="A301" s="54"/>
      <c r="B301" s="44" t="s">
        <v>239</v>
      </c>
      <c r="C301" s="42" t="s">
        <v>53</v>
      </c>
      <c r="D301" s="46">
        <f>CEILING(D281/3,1)</f>
        <v>7</v>
      </c>
      <c r="E301" s="45">
        <v>4.1000000000000002E-2</v>
      </c>
      <c r="F301" s="55">
        <f t="shared" si="71"/>
        <v>0.28700000000000003</v>
      </c>
      <c r="G301" s="42" t="s">
        <v>53</v>
      </c>
      <c r="H301" s="41">
        <v>0</v>
      </c>
      <c r="I301" s="41">
        <v>0</v>
      </c>
      <c r="J301" s="41">
        <f t="shared" si="72"/>
        <v>0</v>
      </c>
      <c r="K301" s="41">
        <f t="shared" si="72"/>
        <v>0</v>
      </c>
      <c r="L301" s="41">
        <f t="shared" si="73"/>
        <v>0</v>
      </c>
    </row>
    <row r="302" spans="1:12" s="81" customFormat="1" x14ac:dyDescent="0.25">
      <c r="A302" s="54"/>
      <c r="B302" s="44" t="s">
        <v>240</v>
      </c>
      <c r="C302" s="42" t="s">
        <v>53</v>
      </c>
      <c r="D302" s="46">
        <f>CEILING(D282/3,1)</f>
        <v>6</v>
      </c>
      <c r="E302" s="45">
        <v>0.11799999999999999</v>
      </c>
      <c r="F302" s="55">
        <f t="shared" si="71"/>
        <v>0.70799999999999996</v>
      </c>
      <c r="G302" s="42" t="s">
        <v>53</v>
      </c>
      <c r="H302" s="41">
        <v>0</v>
      </c>
      <c r="I302" s="41">
        <v>0</v>
      </c>
      <c r="J302" s="41">
        <f t="shared" si="72"/>
        <v>0</v>
      </c>
      <c r="K302" s="41">
        <f t="shared" si="72"/>
        <v>0</v>
      </c>
      <c r="L302" s="41">
        <f t="shared" si="73"/>
        <v>0</v>
      </c>
    </row>
    <row r="303" spans="1:12" s="81" customFormat="1" ht="13" x14ac:dyDescent="0.25">
      <c r="A303" s="54"/>
      <c r="B303" s="44" t="s">
        <v>238</v>
      </c>
      <c r="C303" s="42" t="s">
        <v>53</v>
      </c>
      <c r="D303" s="46">
        <f>1</f>
        <v>1</v>
      </c>
      <c r="E303" s="45">
        <v>0.10199999999999999</v>
      </c>
      <c r="F303" s="55">
        <f t="shared" si="71"/>
        <v>0.10199999999999999</v>
      </c>
      <c r="G303" s="42" t="s">
        <v>53</v>
      </c>
      <c r="H303" s="41">
        <v>0</v>
      </c>
      <c r="I303" s="41">
        <v>0</v>
      </c>
      <c r="J303" s="41">
        <f t="shared" si="72"/>
        <v>0</v>
      </c>
      <c r="K303" s="41">
        <f t="shared" si="72"/>
        <v>0</v>
      </c>
      <c r="L303" s="41">
        <f t="shared" si="73"/>
        <v>0</v>
      </c>
    </row>
    <row r="304" spans="1:12" s="43" customFormat="1" ht="13" x14ac:dyDescent="0.25">
      <c r="A304" s="54"/>
      <c r="B304" s="44" t="s">
        <v>416</v>
      </c>
      <c r="C304" s="42" t="s">
        <v>53</v>
      </c>
      <c r="D304" s="46">
        <v>1</v>
      </c>
      <c r="E304" s="45">
        <v>1.3</v>
      </c>
      <c r="F304" s="55">
        <f t="shared" si="71"/>
        <v>1.3</v>
      </c>
      <c r="G304" s="42" t="s">
        <v>53</v>
      </c>
      <c r="H304" s="41">
        <v>0</v>
      </c>
      <c r="I304" s="41">
        <v>0</v>
      </c>
      <c r="J304" s="41">
        <f t="shared" si="72"/>
        <v>0</v>
      </c>
      <c r="K304" s="41">
        <f t="shared" si="72"/>
        <v>0</v>
      </c>
      <c r="L304" s="41">
        <f t="shared" si="73"/>
        <v>0</v>
      </c>
    </row>
    <row r="305" spans="1:244" s="43" customFormat="1" ht="13" x14ac:dyDescent="0.25">
      <c r="A305" s="54"/>
      <c r="B305" s="44" t="s">
        <v>417</v>
      </c>
      <c r="C305" s="42" t="s">
        <v>53</v>
      </c>
      <c r="D305" s="46">
        <f>1</f>
        <v>1</v>
      </c>
      <c r="E305" s="45">
        <f>0.163</f>
        <v>0.16300000000000001</v>
      </c>
      <c r="F305" s="55">
        <f t="shared" si="71"/>
        <v>0.16300000000000001</v>
      </c>
      <c r="G305" s="42" t="s">
        <v>53</v>
      </c>
      <c r="H305" s="41">
        <v>0</v>
      </c>
      <c r="I305" s="41">
        <v>0</v>
      </c>
      <c r="J305" s="41">
        <f t="shared" si="72"/>
        <v>0</v>
      </c>
      <c r="K305" s="41">
        <f t="shared" si="72"/>
        <v>0</v>
      </c>
      <c r="L305" s="41">
        <f t="shared" si="73"/>
        <v>0</v>
      </c>
    </row>
    <row r="306" spans="1:244" s="81" customFormat="1" x14ac:dyDescent="0.25">
      <c r="A306" s="84"/>
      <c r="B306" s="85"/>
      <c r="C306" s="41"/>
      <c r="D306" s="41"/>
      <c r="E306" s="45"/>
      <c r="F306" s="41"/>
      <c r="G306" s="41"/>
      <c r="H306" s="75"/>
      <c r="I306" s="75">
        <v>0</v>
      </c>
      <c r="J306" s="41"/>
      <c r="K306" s="41"/>
      <c r="L306" s="41"/>
      <c r="M306" s="84"/>
      <c r="N306" s="84"/>
      <c r="O306" s="84"/>
      <c r="P306" s="84"/>
      <c r="Q306" s="84"/>
      <c r="R306" s="84"/>
      <c r="S306" s="84"/>
      <c r="T306" s="84"/>
      <c r="U306" s="84"/>
      <c r="V306" s="84"/>
      <c r="W306" s="84"/>
      <c r="X306" s="84"/>
      <c r="Y306" s="84"/>
      <c r="Z306" s="84"/>
      <c r="AA306" s="84"/>
      <c r="AB306" s="84"/>
      <c r="AC306" s="84"/>
      <c r="AD306" s="84"/>
      <c r="AE306" s="84"/>
      <c r="AF306" s="84"/>
      <c r="AG306" s="84"/>
      <c r="AH306" s="84"/>
      <c r="AI306" s="84"/>
      <c r="AJ306" s="84"/>
      <c r="AK306" s="84"/>
      <c r="AL306" s="84"/>
      <c r="AM306" s="84"/>
      <c r="AN306" s="84"/>
      <c r="AO306" s="84"/>
      <c r="AP306" s="84"/>
      <c r="AQ306" s="84"/>
      <c r="AR306" s="84"/>
      <c r="AS306" s="84"/>
      <c r="AT306" s="84"/>
      <c r="AU306" s="84"/>
      <c r="AV306" s="84"/>
      <c r="AW306" s="84"/>
      <c r="AX306" s="84"/>
      <c r="AY306" s="84"/>
      <c r="AZ306" s="84"/>
      <c r="BA306" s="84"/>
      <c r="BB306" s="84"/>
      <c r="BC306" s="84"/>
      <c r="BD306" s="84"/>
      <c r="BE306" s="84"/>
      <c r="BF306" s="84"/>
      <c r="BG306" s="84"/>
      <c r="BH306" s="84"/>
      <c r="BI306" s="84"/>
      <c r="BJ306" s="84"/>
      <c r="BK306" s="84"/>
      <c r="BL306" s="84"/>
      <c r="BM306" s="84"/>
      <c r="BN306" s="84"/>
      <c r="BO306" s="84"/>
      <c r="BP306" s="84"/>
      <c r="BQ306" s="84"/>
      <c r="BR306" s="84"/>
      <c r="BS306" s="84"/>
      <c r="BT306" s="84"/>
      <c r="BU306" s="84"/>
      <c r="BV306" s="84"/>
      <c r="BW306" s="84"/>
      <c r="BX306" s="84"/>
      <c r="BY306" s="84"/>
      <c r="BZ306" s="84"/>
      <c r="CA306" s="84"/>
      <c r="CB306" s="84"/>
      <c r="CC306" s="84"/>
      <c r="CD306" s="84"/>
      <c r="CE306" s="84"/>
      <c r="CF306" s="84"/>
      <c r="CG306" s="84"/>
      <c r="CH306" s="84"/>
      <c r="CI306" s="84"/>
      <c r="CJ306" s="84"/>
      <c r="CK306" s="84"/>
      <c r="CL306" s="84"/>
      <c r="CM306" s="84"/>
      <c r="CN306" s="84"/>
      <c r="CO306" s="84"/>
      <c r="CP306" s="84"/>
      <c r="CQ306" s="84"/>
      <c r="CR306" s="84"/>
      <c r="CS306" s="84"/>
      <c r="CT306" s="84"/>
      <c r="CU306" s="84"/>
      <c r="CV306" s="84"/>
      <c r="CW306" s="84"/>
      <c r="CX306" s="84"/>
      <c r="CY306" s="84"/>
      <c r="CZ306" s="84"/>
      <c r="DA306" s="84"/>
      <c r="DB306" s="84"/>
      <c r="DC306" s="84"/>
      <c r="DD306" s="84"/>
      <c r="DE306" s="84"/>
      <c r="DF306" s="84"/>
      <c r="DG306" s="84"/>
      <c r="DH306" s="84"/>
      <c r="DI306" s="84"/>
      <c r="DJ306" s="84"/>
      <c r="DK306" s="84"/>
      <c r="DL306" s="84"/>
      <c r="DM306" s="84"/>
      <c r="DN306" s="84"/>
      <c r="DO306" s="84"/>
      <c r="DP306" s="84"/>
      <c r="DQ306" s="84"/>
      <c r="DR306" s="84"/>
      <c r="DS306" s="84"/>
      <c r="DT306" s="84"/>
      <c r="DU306" s="84"/>
      <c r="DV306" s="84"/>
      <c r="DW306" s="84"/>
      <c r="DX306" s="84"/>
      <c r="DY306" s="84"/>
      <c r="DZ306" s="84"/>
      <c r="EA306" s="84"/>
      <c r="EB306" s="84"/>
      <c r="EC306" s="84"/>
      <c r="ED306" s="84"/>
      <c r="EE306" s="84"/>
      <c r="EF306" s="84"/>
      <c r="EG306" s="84"/>
      <c r="EH306" s="84"/>
      <c r="EI306" s="84"/>
      <c r="EJ306" s="84"/>
      <c r="EK306" s="84"/>
      <c r="EL306" s="84"/>
      <c r="EM306" s="84"/>
      <c r="EN306" s="84"/>
      <c r="EO306" s="84"/>
      <c r="EP306" s="84"/>
      <c r="EQ306" s="84"/>
      <c r="ER306" s="84"/>
      <c r="ES306" s="84"/>
      <c r="ET306" s="84"/>
      <c r="EU306" s="84"/>
      <c r="EV306" s="84"/>
      <c r="EW306" s="84"/>
      <c r="EX306" s="84"/>
      <c r="EY306" s="84"/>
      <c r="EZ306" s="84"/>
      <c r="FA306" s="84"/>
      <c r="FB306" s="84"/>
      <c r="FC306" s="84"/>
      <c r="FD306" s="84"/>
      <c r="FE306" s="84"/>
      <c r="FF306" s="84"/>
      <c r="FG306" s="84"/>
      <c r="FH306" s="84"/>
      <c r="FI306" s="84"/>
      <c r="FJ306" s="84"/>
      <c r="FK306" s="84"/>
      <c r="FL306" s="84"/>
      <c r="FM306" s="84"/>
      <c r="FN306" s="84"/>
      <c r="FO306" s="84"/>
      <c r="FP306" s="84"/>
      <c r="FQ306" s="84"/>
      <c r="FR306" s="84"/>
      <c r="FS306" s="84"/>
      <c r="FT306" s="84"/>
      <c r="FU306" s="84"/>
      <c r="FV306" s="84"/>
      <c r="FW306" s="84"/>
      <c r="FX306" s="84"/>
      <c r="FY306" s="84"/>
      <c r="FZ306" s="84"/>
      <c r="GA306" s="84"/>
      <c r="GB306" s="84"/>
      <c r="GC306" s="84"/>
      <c r="GD306" s="84"/>
      <c r="GE306" s="84"/>
      <c r="GF306" s="84"/>
      <c r="GG306" s="84"/>
      <c r="GH306" s="84"/>
      <c r="GI306" s="84"/>
      <c r="GJ306" s="84"/>
      <c r="GK306" s="84"/>
      <c r="GL306" s="84"/>
      <c r="GM306" s="84"/>
      <c r="GN306" s="84"/>
      <c r="GO306" s="84"/>
      <c r="GP306" s="84"/>
      <c r="GQ306" s="84"/>
      <c r="GR306" s="84"/>
      <c r="GS306" s="84"/>
      <c r="GT306" s="84"/>
      <c r="GU306" s="84"/>
      <c r="GV306" s="84"/>
      <c r="GW306" s="84"/>
      <c r="GX306" s="84"/>
      <c r="GY306" s="84"/>
      <c r="GZ306" s="84"/>
      <c r="HA306" s="84"/>
      <c r="HB306" s="84"/>
      <c r="HC306" s="84"/>
      <c r="HD306" s="84"/>
      <c r="HE306" s="84"/>
      <c r="HF306" s="84"/>
      <c r="HG306" s="84"/>
      <c r="HH306" s="84"/>
      <c r="HI306" s="84"/>
      <c r="HJ306" s="84"/>
      <c r="HK306" s="84"/>
      <c r="HL306" s="84"/>
      <c r="HM306" s="84"/>
      <c r="HN306" s="84"/>
      <c r="HO306" s="84"/>
      <c r="HP306" s="84"/>
      <c r="HQ306" s="84"/>
      <c r="HR306" s="84"/>
      <c r="HS306" s="84"/>
      <c r="HT306" s="84"/>
      <c r="HU306" s="84"/>
      <c r="HV306" s="84"/>
      <c r="HW306" s="84"/>
      <c r="HX306" s="84"/>
      <c r="HY306" s="84"/>
      <c r="HZ306" s="84"/>
      <c r="IA306" s="84"/>
      <c r="IB306" s="84"/>
      <c r="IC306" s="84"/>
      <c r="ID306" s="84"/>
      <c r="IE306" s="84"/>
      <c r="IF306" s="84"/>
      <c r="IG306" s="84"/>
      <c r="IH306" s="84"/>
      <c r="II306" s="84"/>
      <c r="IJ306" s="84"/>
    </row>
    <row r="307" spans="1:244" s="81" customFormat="1" ht="13" x14ac:dyDescent="0.25">
      <c r="A307" s="54"/>
      <c r="B307" s="94" t="s">
        <v>242</v>
      </c>
      <c r="C307" s="41"/>
      <c r="D307" s="41"/>
      <c r="E307" s="45"/>
      <c r="F307" s="55"/>
      <c r="G307" s="41"/>
      <c r="H307" s="41"/>
      <c r="I307" s="41">
        <v>0</v>
      </c>
      <c r="J307" s="41"/>
      <c r="K307" s="41"/>
      <c r="L307" s="41"/>
    </row>
    <row r="308" spans="1:244" s="81" customFormat="1" ht="28.5" x14ac:dyDescent="0.25">
      <c r="A308" s="54"/>
      <c r="B308" s="44" t="s">
        <v>404</v>
      </c>
      <c r="C308" s="41" t="s">
        <v>68</v>
      </c>
      <c r="D308" s="46">
        <f>CEILING(1.01*(0.5),1)</f>
        <v>1</v>
      </c>
      <c r="E308" s="45">
        <f>0.107</f>
        <v>0.107</v>
      </c>
      <c r="F308" s="55">
        <f t="shared" ref="F308:F321" si="77">D308*E308</f>
        <v>0.107</v>
      </c>
      <c r="G308" s="41" t="s">
        <v>142</v>
      </c>
      <c r="H308" s="41">
        <v>0</v>
      </c>
      <c r="I308" s="41">
        <v>0</v>
      </c>
      <c r="J308" s="41">
        <f t="shared" ref="J308:K321" si="78">$D308*H308</f>
        <v>0</v>
      </c>
      <c r="K308" s="41">
        <f t="shared" si="78"/>
        <v>0</v>
      </c>
      <c r="L308" s="41">
        <f t="shared" ref="L308:L321" si="79">J308+K308</f>
        <v>0</v>
      </c>
    </row>
    <row r="309" spans="1:244" s="81" customFormat="1" ht="25" x14ac:dyDescent="0.25">
      <c r="A309" s="54"/>
      <c r="B309" s="44" t="s">
        <v>401</v>
      </c>
      <c r="C309" s="41" t="s">
        <v>68</v>
      </c>
      <c r="D309" s="46">
        <f>CEILING(1.01*(2),1)</f>
        <v>3</v>
      </c>
      <c r="E309" s="45">
        <f>0.261</f>
        <v>0.26100000000000001</v>
      </c>
      <c r="F309" s="55">
        <f t="shared" si="77"/>
        <v>0.78300000000000003</v>
      </c>
      <c r="G309" s="41" t="s">
        <v>142</v>
      </c>
      <c r="H309" s="41">
        <v>0</v>
      </c>
      <c r="I309" s="41">
        <v>0</v>
      </c>
      <c r="J309" s="41">
        <f t="shared" si="78"/>
        <v>0</v>
      </c>
      <c r="K309" s="41">
        <f t="shared" si="78"/>
        <v>0</v>
      </c>
      <c r="L309" s="41">
        <f t="shared" si="79"/>
        <v>0</v>
      </c>
    </row>
    <row r="310" spans="1:244" ht="28.5" x14ac:dyDescent="0.25">
      <c r="A310" s="54"/>
      <c r="B310" s="44" t="s">
        <v>402</v>
      </c>
      <c r="C310" s="41" t="s">
        <v>68</v>
      </c>
      <c r="D310" s="46">
        <f>CEILING(1.01*(2+4+5+2),1)</f>
        <v>14</v>
      </c>
      <c r="E310" s="45">
        <f>0.412</f>
        <v>0.41199999999999998</v>
      </c>
      <c r="F310" s="55">
        <f t="shared" si="77"/>
        <v>5.7679999999999998</v>
      </c>
      <c r="G310" s="41" t="s">
        <v>142</v>
      </c>
      <c r="H310" s="41">
        <v>0</v>
      </c>
      <c r="I310" s="41">
        <v>0</v>
      </c>
      <c r="J310" s="41">
        <f t="shared" si="78"/>
        <v>0</v>
      </c>
      <c r="K310" s="41">
        <f t="shared" si="78"/>
        <v>0</v>
      </c>
      <c r="L310" s="41">
        <f t="shared" si="79"/>
        <v>0</v>
      </c>
      <c r="M310" s="81"/>
      <c r="N310" s="81"/>
      <c r="O310" s="81"/>
      <c r="P310" s="81"/>
      <c r="Q310" s="81"/>
      <c r="R310" s="81"/>
      <c r="S310" s="81"/>
      <c r="T310" s="81"/>
      <c r="U310" s="81"/>
      <c r="V310" s="81"/>
      <c r="W310" s="81"/>
      <c r="X310" s="81"/>
      <c r="Y310" s="81"/>
      <c r="Z310" s="81"/>
      <c r="AA310" s="81"/>
      <c r="AB310" s="81"/>
      <c r="AC310" s="81"/>
      <c r="AD310" s="81"/>
      <c r="AE310" s="81"/>
      <c r="AF310" s="81"/>
      <c r="AG310" s="81"/>
      <c r="AH310" s="81"/>
      <c r="AI310" s="81"/>
      <c r="AJ310" s="81"/>
      <c r="AK310" s="81"/>
      <c r="AL310" s="81"/>
      <c r="AM310" s="81"/>
      <c r="AN310" s="81"/>
      <c r="AO310" s="81"/>
      <c r="AP310" s="81"/>
      <c r="AQ310" s="81"/>
      <c r="AR310" s="81"/>
      <c r="AS310" s="81"/>
      <c r="AT310" s="81"/>
      <c r="AU310" s="81"/>
      <c r="AV310" s="81"/>
      <c r="AW310" s="81"/>
      <c r="AX310" s="81"/>
      <c r="AY310" s="81"/>
      <c r="AZ310" s="81"/>
      <c r="BA310" s="81"/>
      <c r="BB310" s="81"/>
      <c r="BC310" s="81"/>
      <c r="BD310" s="81"/>
      <c r="BE310" s="81"/>
      <c r="BF310" s="81"/>
      <c r="BG310" s="81"/>
      <c r="BH310" s="81"/>
      <c r="BI310" s="81"/>
      <c r="BJ310" s="81"/>
      <c r="BK310" s="81"/>
      <c r="BL310" s="81"/>
      <c r="BM310" s="81"/>
      <c r="BN310" s="81"/>
      <c r="BO310" s="81"/>
      <c r="BP310" s="81"/>
      <c r="BQ310" s="81"/>
      <c r="BR310" s="81"/>
      <c r="BS310" s="81"/>
      <c r="BT310" s="81"/>
      <c r="BU310" s="81"/>
      <c r="BV310" s="81"/>
      <c r="BW310" s="81"/>
      <c r="BX310" s="81"/>
      <c r="BY310" s="81"/>
      <c r="BZ310" s="81"/>
      <c r="CA310" s="81"/>
      <c r="CB310" s="81"/>
      <c r="CC310" s="81"/>
      <c r="CD310" s="81"/>
      <c r="CE310" s="81"/>
      <c r="CF310" s="81"/>
      <c r="CG310" s="81"/>
      <c r="CH310" s="81"/>
      <c r="CI310" s="81"/>
      <c r="CJ310" s="81"/>
      <c r="CK310" s="81"/>
      <c r="CL310" s="81"/>
      <c r="CM310" s="81"/>
      <c r="CN310" s="81"/>
      <c r="CO310" s="81"/>
      <c r="CP310" s="81"/>
      <c r="CQ310" s="81"/>
      <c r="CR310" s="81"/>
      <c r="CS310" s="81"/>
      <c r="CT310" s="81"/>
      <c r="CU310" s="81"/>
      <c r="CV310" s="81"/>
      <c r="CW310" s="81"/>
      <c r="CX310" s="81"/>
      <c r="CY310" s="81"/>
      <c r="CZ310" s="81"/>
      <c r="DA310" s="81"/>
      <c r="DB310" s="81"/>
      <c r="DC310" s="81"/>
      <c r="DD310" s="81"/>
      <c r="DE310" s="81"/>
      <c r="DF310" s="81"/>
      <c r="DG310" s="81"/>
      <c r="DH310" s="81"/>
      <c r="DI310" s="81"/>
      <c r="DJ310" s="81"/>
      <c r="DK310" s="81"/>
      <c r="DL310" s="81"/>
      <c r="DM310" s="81"/>
      <c r="DN310" s="81"/>
      <c r="DO310" s="81"/>
      <c r="DP310" s="81"/>
      <c r="DQ310" s="81"/>
      <c r="DR310" s="81"/>
      <c r="DS310" s="81"/>
      <c r="DT310" s="81"/>
      <c r="DU310" s="81"/>
      <c r="DV310" s="81"/>
      <c r="DW310" s="81"/>
      <c r="DX310" s="81"/>
      <c r="DY310" s="81"/>
      <c r="DZ310" s="81"/>
      <c r="EA310" s="81"/>
      <c r="EB310" s="81"/>
      <c r="EC310" s="81"/>
      <c r="ED310" s="81"/>
      <c r="EE310" s="81"/>
      <c r="EF310" s="81"/>
      <c r="EG310" s="81"/>
      <c r="EH310" s="81"/>
      <c r="EI310" s="81"/>
      <c r="EJ310" s="81"/>
      <c r="EK310" s="81"/>
      <c r="EL310" s="81"/>
      <c r="EM310" s="81"/>
      <c r="EN310" s="81"/>
      <c r="EO310" s="81"/>
      <c r="EP310" s="81"/>
      <c r="EQ310" s="81"/>
      <c r="ER310" s="81"/>
      <c r="ES310" s="81"/>
      <c r="ET310" s="81"/>
      <c r="EU310" s="81"/>
      <c r="EV310" s="81"/>
      <c r="EW310" s="81"/>
      <c r="EX310" s="81"/>
      <c r="EY310" s="81"/>
      <c r="EZ310" s="81"/>
      <c r="FA310" s="81"/>
      <c r="FB310" s="81"/>
      <c r="FC310" s="81"/>
      <c r="FD310" s="81"/>
      <c r="FE310" s="81"/>
      <c r="FF310" s="81"/>
      <c r="FG310" s="81"/>
      <c r="FH310" s="81"/>
      <c r="FI310" s="81"/>
      <c r="FJ310" s="81"/>
      <c r="FK310" s="81"/>
      <c r="FL310" s="81"/>
      <c r="FM310" s="81"/>
      <c r="FN310" s="81"/>
      <c r="FO310" s="81"/>
      <c r="FP310" s="81"/>
      <c r="FQ310" s="81"/>
      <c r="FR310" s="81"/>
      <c r="FS310" s="81"/>
      <c r="FT310" s="81"/>
      <c r="FU310" s="81"/>
      <c r="FV310" s="81"/>
      <c r="FW310" s="81"/>
      <c r="FX310" s="81"/>
      <c r="FY310" s="81"/>
      <c r="FZ310" s="81"/>
      <c r="GA310" s="81"/>
      <c r="GB310" s="81"/>
      <c r="GC310" s="81"/>
      <c r="GD310" s="81"/>
      <c r="GE310" s="81"/>
      <c r="GF310" s="81"/>
      <c r="GG310" s="81"/>
      <c r="GH310" s="81"/>
      <c r="GI310" s="81"/>
      <c r="GJ310" s="81"/>
      <c r="GK310" s="81"/>
      <c r="GL310" s="81"/>
      <c r="GM310" s="81"/>
      <c r="GN310" s="81"/>
      <c r="GO310" s="81"/>
      <c r="GP310" s="81"/>
      <c r="GQ310" s="81"/>
      <c r="GR310" s="81"/>
      <c r="GS310" s="81"/>
      <c r="GT310" s="81"/>
      <c r="GU310" s="81"/>
      <c r="GV310" s="81"/>
      <c r="GW310" s="81"/>
      <c r="GX310" s="81"/>
      <c r="GY310" s="81"/>
      <c r="GZ310" s="81"/>
      <c r="HA310" s="81"/>
      <c r="HB310" s="81"/>
      <c r="HC310" s="81"/>
      <c r="HD310" s="81"/>
      <c r="HE310" s="81"/>
      <c r="HF310" s="81"/>
      <c r="HG310" s="81"/>
      <c r="HH310" s="81"/>
      <c r="HI310" s="81"/>
      <c r="HJ310" s="81"/>
      <c r="HK310" s="81"/>
      <c r="HL310" s="81"/>
      <c r="HM310" s="81"/>
      <c r="HN310" s="81"/>
      <c r="HO310" s="81"/>
      <c r="HP310" s="81"/>
      <c r="HQ310" s="81"/>
      <c r="HR310" s="81"/>
      <c r="HS310" s="81"/>
      <c r="HT310" s="81"/>
      <c r="HU310" s="81"/>
      <c r="HV310" s="81"/>
      <c r="HW310" s="81"/>
      <c r="HX310" s="81"/>
      <c r="HY310" s="81"/>
      <c r="HZ310" s="81"/>
      <c r="IA310" s="81"/>
      <c r="IB310" s="81"/>
      <c r="IC310" s="81"/>
      <c r="ID310" s="81"/>
      <c r="IE310" s="81"/>
      <c r="IF310" s="81"/>
      <c r="IG310" s="81"/>
      <c r="IH310" s="81"/>
      <c r="II310" s="81"/>
      <c r="IJ310" s="81"/>
    </row>
    <row r="311" spans="1:244" s="81" customFormat="1" ht="13" x14ac:dyDescent="0.25">
      <c r="A311" s="54"/>
      <c r="B311" s="44" t="s">
        <v>243</v>
      </c>
      <c r="C311" s="42" t="s">
        <v>53</v>
      </c>
      <c r="D311" s="46">
        <f>2</f>
        <v>2</v>
      </c>
      <c r="E311" s="45">
        <v>4.3999999999999997E-2</v>
      </c>
      <c r="F311" s="55">
        <f t="shared" si="77"/>
        <v>8.7999999999999995E-2</v>
      </c>
      <c r="G311" s="42" t="s">
        <v>53</v>
      </c>
      <c r="H311" s="41">
        <v>0</v>
      </c>
      <c r="I311" s="41">
        <v>0</v>
      </c>
      <c r="J311" s="41">
        <f t="shared" ref="J311:J321" si="80">$D311*H311</f>
        <v>0</v>
      </c>
      <c r="K311" s="41">
        <f t="shared" si="78"/>
        <v>0</v>
      </c>
      <c r="L311" s="41">
        <f t="shared" si="79"/>
        <v>0</v>
      </c>
    </row>
    <row r="312" spans="1:244" s="81" customFormat="1" ht="13" x14ac:dyDescent="0.25">
      <c r="A312" s="54"/>
      <c r="B312" s="44" t="s">
        <v>236</v>
      </c>
      <c r="C312" s="42" t="s">
        <v>53</v>
      </c>
      <c r="D312" s="46">
        <f>2+5</f>
        <v>7</v>
      </c>
      <c r="E312" s="45">
        <v>7.3999999999999996E-2</v>
      </c>
      <c r="F312" s="55">
        <f t="shared" si="77"/>
        <v>0.51800000000000002</v>
      </c>
      <c r="G312" s="42" t="s">
        <v>53</v>
      </c>
      <c r="H312" s="41">
        <v>0</v>
      </c>
      <c r="I312" s="41">
        <v>0</v>
      </c>
      <c r="J312" s="41">
        <f t="shared" si="80"/>
        <v>0</v>
      </c>
      <c r="K312" s="41">
        <f t="shared" si="78"/>
        <v>0</v>
      </c>
      <c r="L312" s="41">
        <f t="shared" si="79"/>
        <v>0</v>
      </c>
    </row>
    <row r="313" spans="1:244" s="81" customFormat="1" x14ac:dyDescent="0.25">
      <c r="A313" s="54"/>
      <c r="B313" s="44" t="s">
        <v>237</v>
      </c>
      <c r="C313" s="42" t="s">
        <v>53</v>
      </c>
      <c r="D313" s="46">
        <f>1</f>
        <v>1</v>
      </c>
      <c r="E313" s="45">
        <v>0.23</v>
      </c>
      <c r="F313" s="55">
        <f t="shared" si="77"/>
        <v>0.23</v>
      </c>
      <c r="G313" s="42" t="s">
        <v>53</v>
      </c>
      <c r="H313" s="41">
        <v>0</v>
      </c>
      <c r="I313" s="41">
        <v>0</v>
      </c>
      <c r="J313" s="41">
        <f t="shared" si="80"/>
        <v>0</v>
      </c>
      <c r="K313" s="41">
        <f t="shared" si="78"/>
        <v>0</v>
      </c>
      <c r="L313" s="41">
        <f t="shared" si="79"/>
        <v>0</v>
      </c>
    </row>
    <row r="314" spans="1:244" s="81" customFormat="1" ht="13" x14ac:dyDescent="0.25">
      <c r="A314" s="54"/>
      <c r="B314" s="44" t="s">
        <v>244</v>
      </c>
      <c r="C314" s="42" t="s">
        <v>53</v>
      </c>
      <c r="D314" s="46">
        <f>5+2+1</f>
        <v>8</v>
      </c>
      <c r="E314" s="45">
        <v>9.5000000000000001E-2</v>
      </c>
      <c r="F314" s="55">
        <f t="shared" si="77"/>
        <v>0.76</v>
      </c>
      <c r="G314" s="42" t="s">
        <v>53</v>
      </c>
      <c r="H314" s="41">
        <v>0</v>
      </c>
      <c r="I314" s="41">
        <v>0</v>
      </c>
      <c r="J314" s="41">
        <f t="shared" si="80"/>
        <v>0</v>
      </c>
      <c r="K314" s="41">
        <f t="shared" si="78"/>
        <v>0</v>
      </c>
      <c r="L314" s="41">
        <f t="shared" si="79"/>
        <v>0</v>
      </c>
    </row>
    <row r="315" spans="1:244" s="43" customFormat="1" ht="13" x14ac:dyDescent="0.25">
      <c r="A315" s="54"/>
      <c r="B315" s="44" t="s">
        <v>420</v>
      </c>
      <c r="C315" s="42" t="s">
        <v>53</v>
      </c>
      <c r="D315" s="46">
        <f>3+1+1</f>
        <v>5</v>
      </c>
      <c r="E315" s="45">
        <v>2.1999999999999999E-2</v>
      </c>
      <c r="F315" s="55">
        <f t="shared" si="77"/>
        <v>0.10999999999999999</v>
      </c>
      <c r="G315" s="42" t="s">
        <v>53</v>
      </c>
      <c r="H315" s="41">
        <v>0</v>
      </c>
      <c r="I315" s="41">
        <v>0</v>
      </c>
      <c r="J315" s="41">
        <f t="shared" si="80"/>
        <v>0</v>
      </c>
      <c r="K315" s="41">
        <f t="shared" si="78"/>
        <v>0</v>
      </c>
      <c r="L315" s="41">
        <f t="shared" si="79"/>
        <v>0</v>
      </c>
    </row>
    <row r="316" spans="1:244" s="43" customFormat="1" ht="13" x14ac:dyDescent="0.25">
      <c r="A316" s="54"/>
      <c r="B316" s="44" t="s">
        <v>398</v>
      </c>
      <c r="C316" s="42" t="s">
        <v>53</v>
      </c>
      <c r="D316" s="46">
        <f>2+1</f>
        <v>3</v>
      </c>
      <c r="E316" s="45">
        <v>0.03</v>
      </c>
      <c r="F316" s="55">
        <f t="shared" si="77"/>
        <v>0.09</v>
      </c>
      <c r="G316" s="42" t="s">
        <v>53</v>
      </c>
      <c r="H316" s="41">
        <v>0</v>
      </c>
      <c r="I316" s="41">
        <v>0</v>
      </c>
      <c r="J316" s="41">
        <f t="shared" si="80"/>
        <v>0</v>
      </c>
      <c r="K316" s="41">
        <f t="shared" si="78"/>
        <v>0</v>
      </c>
      <c r="L316" s="41">
        <f t="shared" si="79"/>
        <v>0</v>
      </c>
    </row>
    <row r="317" spans="1:244" s="43" customFormat="1" ht="13" x14ac:dyDescent="0.25">
      <c r="A317" s="54"/>
      <c r="B317" s="44" t="s">
        <v>421</v>
      </c>
      <c r="C317" s="42" t="s">
        <v>53</v>
      </c>
      <c r="D317" s="46">
        <f>D315</f>
        <v>5</v>
      </c>
      <c r="E317" s="45">
        <f>0.05</f>
        <v>0.05</v>
      </c>
      <c r="F317" s="55">
        <f t="shared" si="77"/>
        <v>0.25</v>
      </c>
      <c r="G317" s="42" t="s">
        <v>53</v>
      </c>
      <c r="H317" s="41">
        <v>0</v>
      </c>
      <c r="I317" s="41">
        <v>0</v>
      </c>
      <c r="J317" s="41">
        <f t="shared" si="80"/>
        <v>0</v>
      </c>
      <c r="K317" s="41">
        <f t="shared" si="78"/>
        <v>0</v>
      </c>
      <c r="L317" s="41">
        <f t="shared" si="79"/>
        <v>0</v>
      </c>
    </row>
    <row r="318" spans="1:244" s="43" customFormat="1" ht="13" x14ac:dyDescent="0.25">
      <c r="A318" s="54"/>
      <c r="B318" s="44" t="s">
        <v>407</v>
      </c>
      <c r="C318" s="42" t="s">
        <v>53</v>
      </c>
      <c r="D318" s="46">
        <f>D316</f>
        <v>3</v>
      </c>
      <c r="E318" s="45">
        <v>0.01</v>
      </c>
      <c r="F318" s="55">
        <f t="shared" si="77"/>
        <v>0.03</v>
      </c>
      <c r="G318" s="42" t="s">
        <v>53</v>
      </c>
      <c r="H318" s="41">
        <v>0</v>
      </c>
      <c r="I318" s="41">
        <v>0</v>
      </c>
      <c r="J318" s="41">
        <f t="shared" si="80"/>
        <v>0</v>
      </c>
      <c r="K318" s="41">
        <f t="shared" si="78"/>
        <v>0</v>
      </c>
      <c r="L318" s="41">
        <f t="shared" si="79"/>
        <v>0</v>
      </c>
    </row>
    <row r="319" spans="1:244" s="81" customFormat="1" ht="13" x14ac:dyDescent="0.25">
      <c r="A319" s="54"/>
      <c r="B319" s="44" t="s">
        <v>246</v>
      </c>
      <c r="C319" s="42" t="s">
        <v>53</v>
      </c>
      <c r="D319" s="46">
        <f>CEILING(D308/2,1)</f>
        <v>1</v>
      </c>
      <c r="E319" s="45">
        <v>1.2999999999999999E-2</v>
      </c>
      <c r="F319" s="55">
        <f t="shared" si="77"/>
        <v>1.2999999999999999E-2</v>
      </c>
      <c r="G319" s="42" t="s">
        <v>53</v>
      </c>
      <c r="H319" s="41">
        <v>0</v>
      </c>
      <c r="I319" s="41">
        <v>0</v>
      </c>
      <c r="J319" s="41">
        <f t="shared" si="80"/>
        <v>0</v>
      </c>
      <c r="K319" s="41">
        <f t="shared" si="78"/>
        <v>0</v>
      </c>
      <c r="L319" s="41">
        <f t="shared" si="79"/>
        <v>0</v>
      </c>
    </row>
    <row r="320" spans="1:244" s="81" customFormat="1" ht="13" x14ac:dyDescent="0.25">
      <c r="A320" s="54"/>
      <c r="B320" s="44" t="s">
        <v>241</v>
      </c>
      <c r="C320" s="42" t="s">
        <v>53</v>
      </c>
      <c r="D320" s="46">
        <f>CEILING(D309/2,1)</f>
        <v>2</v>
      </c>
      <c r="E320" s="45">
        <v>2.5999999999999999E-2</v>
      </c>
      <c r="F320" s="55">
        <f t="shared" si="77"/>
        <v>5.1999999999999998E-2</v>
      </c>
      <c r="G320" s="42" t="s">
        <v>53</v>
      </c>
      <c r="H320" s="41">
        <v>0</v>
      </c>
      <c r="I320" s="41">
        <v>0</v>
      </c>
      <c r="J320" s="41">
        <f t="shared" si="80"/>
        <v>0</v>
      </c>
      <c r="K320" s="41">
        <f t="shared" si="78"/>
        <v>0</v>
      </c>
      <c r="L320" s="41">
        <f t="shared" si="79"/>
        <v>0</v>
      </c>
    </row>
    <row r="321" spans="1:244" s="81" customFormat="1" ht="13" x14ac:dyDescent="0.25">
      <c r="A321" s="54"/>
      <c r="B321" s="44" t="s">
        <v>239</v>
      </c>
      <c r="C321" s="42" t="s">
        <v>53</v>
      </c>
      <c r="D321" s="46">
        <f>CEILING(D310/2,1)</f>
        <v>7</v>
      </c>
      <c r="E321" s="45">
        <v>4.1000000000000002E-2</v>
      </c>
      <c r="F321" s="55">
        <f t="shared" si="77"/>
        <v>0.28700000000000003</v>
      </c>
      <c r="G321" s="42" t="s">
        <v>53</v>
      </c>
      <c r="H321" s="41">
        <v>0</v>
      </c>
      <c r="I321" s="41">
        <v>0</v>
      </c>
      <c r="J321" s="41">
        <f t="shared" si="80"/>
        <v>0</v>
      </c>
      <c r="K321" s="41">
        <f t="shared" si="78"/>
        <v>0</v>
      </c>
      <c r="L321" s="41">
        <f t="shared" si="79"/>
        <v>0</v>
      </c>
    </row>
    <row r="322" spans="1:244" s="81" customFormat="1" x14ac:dyDescent="0.25">
      <c r="A322" s="54"/>
      <c r="B322" s="44"/>
      <c r="C322" s="41"/>
      <c r="D322" s="41"/>
      <c r="E322" s="45"/>
      <c r="F322" s="55"/>
      <c r="G322" s="41"/>
      <c r="H322" s="41"/>
      <c r="I322" s="41"/>
      <c r="J322" s="41"/>
      <c r="K322" s="41"/>
      <c r="L322" s="41"/>
    </row>
    <row r="323" spans="1:244" s="81" customFormat="1" ht="13" x14ac:dyDescent="0.25">
      <c r="A323" s="54"/>
      <c r="B323" s="94" t="s">
        <v>247</v>
      </c>
      <c r="C323" s="41"/>
      <c r="D323" s="41"/>
      <c r="E323" s="45"/>
      <c r="F323" s="55"/>
      <c r="HO323" s="3"/>
      <c r="HP323" s="3"/>
      <c r="HQ323" s="3"/>
      <c r="HR323" s="3"/>
      <c r="HS323" s="3"/>
      <c r="HT323" s="3"/>
      <c r="HU323" s="3"/>
      <c r="HV323" s="3"/>
      <c r="HW323" s="3"/>
      <c r="HX323" s="3"/>
      <c r="HY323" s="3"/>
      <c r="HZ323" s="3"/>
      <c r="IA323" s="3"/>
      <c r="IB323" s="3"/>
      <c r="IC323" s="3"/>
      <c r="ID323" s="3"/>
      <c r="IE323" s="3"/>
      <c r="IF323" s="3"/>
      <c r="IG323" s="3"/>
      <c r="IH323" s="3"/>
      <c r="II323" s="3"/>
      <c r="IJ323" s="3"/>
    </row>
    <row r="324" spans="1:244" s="81" customFormat="1" ht="13" x14ac:dyDescent="0.25">
      <c r="A324" s="18"/>
      <c r="B324" s="101" t="s">
        <v>393</v>
      </c>
      <c r="C324" s="12"/>
      <c r="D324" s="24"/>
      <c r="E324" s="12"/>
      <c r="F324" s="12"/>
      <c r="G324" s="12"/>
      <c r="H324" s="11"/>
      <c r="I324" s="11"/>
      <c r="J324" s="11"/>
      <c r="K324" s="11"/>
      <c r="L324" s="11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  <c r="CG324" s="3"/>
      <c r="CH324" s="3"/>
      <c r="CI324" s="3"/>
      <c r="CJ324" s="3"/>
      <c r="CK324" s="3"/>
      <c r="CL324" s="3"/>
      <c r="CM324" s="3"/>
      <c r="CN324" s="3"/>
      <c r="CO324" s="3"/>
      <c r="CP324" s="3"/>
      <c r="CQ324" s="3"/>
      <c r="CR324" s="3"/>
      <c r="CS324" s="3"/>
      <c r="CT324" s="3"/>
      <c r="CU324" s="3"/>
      <c r="CV324" s="3"/>
      <c r="CW324" s="3"/>
      <c r="CX324" s="3"/>
      <c r="CY324" s="3"/>
      <c r="CZ324" s="3"/>
      <c r="DA324" s="3"/>
      <c r="DB324" s="3"/>
      <c r="DC324" s="3"/>
      <c r="DD324" s="3"/>
      <c r="DE324" s="3"/>
      <c r="DF324" s="3"/>
      <c r="DG324" s="3"/>
      <c r="DH324" s="3"/>
      <c r="DI324" s="3"/>
      <c r="DJ324" s="3"/>
      <c r="DK324" s="3"/>
      <c r="DL324" s="3"/>
      <c r="DM324" s="3"/>
      <c r="DN324" s="3"/>
      <c r="DO324" s="3"/>
      <c r="DP324" s="3"/>
      <c r="DQ324" s="3"/>
      <c r="DR324" s="3"/>
      <c r="DS324" s="3"/>
      <c r="DT324" s="3"/>
      <c r="DU324" s="3"/>
      <c r="DV324" s="3"/>
      <c r="DW324" s="3"/>
      <c r="DX324" s="3"/>
      <c r="DY324" s="3"/>
      <c r="DZ324" s="3"/>
      <c r="EA324" s="3"/>
      <c r="EB324" s="3"/>
      <c r="EC324" s="3"/>
      <c r="ED324" s="3"/>
      <c r="EE324" s="3"/>
      <c r="EF324" s="3"/>
      <c r="EG324" s="3"/>
      <c r="EH324" s="3"/>
      <c r="EI324" s="3"/>
      <c r="EJ324" s="3"/>
      <c r="EK324" s="3"/>
      <c r="EL324" s="3"/>
      <c r="EM324" s="3"/>
      <c r="EN324" s="3"/>
      <c r="EO324" s="3"/>
      <c r="EP324" s="3"/>
      <c r="EQ324" s="3"/>
      <c r="ER324" s="3"/>
      <c r="ES324" s="3"/>
      <c r="ET324" s="3"/>
      <c r="EU324" s="3"/>
      <c r="EV324" s="3"/>
      <c r="EW324" s="3"/>
      <c r="EX324" s="3"/>
      <c r="EY324" s="3"/>
      <c r="EZ324" s="3"/>
      <c r="FA324" s="3"/>
      <c r="FB324" s="3"/>
      <c r="FC324" s="3"/>
      <c r="FD324" s="3"/>
      <c r="FE324" s="3"/>
      <c r="FF324" s="3"/>
      <c r="FG324" s="3"/>
      <c r="FH324" s="3"/>
      <c r="FI324" s="3"/>
      <c r="FJ324" s="3"/>
      <c r="FK324" s="3"/>
      <c r="FL324" s="3"/>
      <c r="FM324" s="3"/>
      <c r="FN324" s="3"/>
      <c r="FO324" s="3"/>
      <c r="FP324" s="3"/>
      <c r="FQ324" s="3"/>
      <c r="FR324" s="3"/>
      <c r="FS324" s="3"/>
      <c r="FT324" s="3"/>
      <c r="FU324" s="3"/>
      <c r="FV324" s="3"/>
      <c r="FW324" s="3"/>
      <c r="FX324" s="3"/>
      <c r="FY324" s="3"/>
      <c r="FZ324" s="3"/>
      <c r="GA324" s="3"/>
      <c r="GB324" s="3"/>
      <c r="GC324" s="3"/>
      <c r="GD324" s="3"/>
      <c r="GE324" s="3"/>
      <c r="GF324" s="3"/>
      <c r="GG324" s="3"/>
      <c r="GH324" s="3"/>
      <c r="GI324" s="3"/>
      <c r="GJ324" s="3"/>
      <c r="GK324" s="3"/>
      <c r="GL324" s="3"/>
      <c r="GM324" s="3"/>
      <c r="GN324" s="3"/>
      <c r="GO324" s="3"/>
      <c r="GP324" s="3"/>
      <c r="GQ324" s="3"/>
      <c r="GR324" s="3"/>
      <c r="GS324" s="3"/>
      <c r="GT324" s="3"/>
      <c r="GU324" s="3"/>
      <c r="GV324" s="3"/>
      <c r="GW324" s="3"/>
      <c r="GX324" s="3"/>
      <c r="GY324" s="3"/>
      <c r="GZ324" s="3"/>
      <c r="HA324" s="3"/>
      <c r="HB324" s="3"/>
      <c r="HC324" s="3"/>
      <c r="HD324" s="3"/>
      <c r="HE324" s="3"/>
      <c r="HF324" s="3"/>
      <c r="HG324" s="3"/>
      <c r="HH324" s="3"/>
      <c r="HI324" s="3"/>
      <c r="HJ324" s="3"/>
      <c r="HK324" s="3"/>
      <c r="HL324" s="3"/>
      <c r="HM324" s="3"/>
      <c r="HN324" s="3"/>
      <c r="HO324" s="3"/>
      <c r="HP324" s="3"/>
      <c r="HQ324" s="3"/>
      <c r="HR324" s="3"/>
      <c r="HS324" s="3"/>
      <c r="HT324" s="3"/>
      <c r="HU324" s="3"/>
      <c r="HV324" s="3"/>
      <c r="HW324" s="3"/>
      <c r="HX324" s="3"/>
      <c r="HY324" s="3"/>
      <c r="HZ324" s="3"/>
      <c r="IA324" s="3"/>
      <c r="IB324" s="3"/>
      <c r="IC324" s="3"/>
      <c r="ID324" s="3"/>
      <c r="IE324" s="3"/>
      <c r="IF324" s="3"/>
      <c r="IG324" s="3"/>
      <c r="IH324" s="3"/>
      <c r="II324" s="3"/>
      <c r="IJ324" s="3"/>
    </row>
    <row r="325" spans="1:244" s="43" customFormat="1" ht="13" x14ac:dyDescent="0.25">
      <c r="A325" s="54"/>
      <c r="B325" s="44" t="s">
        <v>394</v>
      </c>
      <c r="C325" s="42" t="s">
        <v>53</v>
      </c>
      <c r="D325" s="46">
        <f>2</f>
        <v>2</v>
      </c>
      <c r="E325" s="45">
        <v>0.94</v>
      </c>
      <c r="F325" s="55">
        <f>D325*E325</f>
        <v>1.88</v>
      </c>
      <c r="G325" s="42" t="s">
        <v>53</v>
      </c>
      <c r="H325" s="41">
        <v>0</v>
      </c>
      <c r="I325" s="41">
        <v>0</v>
      </c>
      <c r="J325" s="41">
        <f t="shared" ref="J325:K340" si="81">$D325*H325</f>
        <v>0</v>
      </c>
      <c r="K325" s="41">
        <f t="shared" si="81"/>
        <v>0</v>
      </c>
      <c r="L325" s="41">
        <f>J325+K325</f>
        <v>0</v>
      </c>
    </row>
    <row r="326" spans="1:244" s="43" customFormat="1" ht="13" x14ac:dyDescent="0.25">
      <c r="A326" s="54"/>
      <c r="B326" s="44" t="s">
        <v>395</v>
      </c>
      <c r="C326" s="42" t="s">
        <v>53</v>
      </c>
      <c r="D326" s="46">
        <f>D325</f>
        <v>2</v>
      </c>
      <c r="E326" s="45">
        <f>0.09</f>
        <v>0.09</v>
      </c>
      <c r="F326" s="55">
        <f>D326*E326</f>
        <v>0.18</v>
      </c>
      <c r="G326" s="42" t="s">
        <v>53</v>
      </c>
      <c r="H326" s="41">
        <v>0</v>
      </c>
      <c r="I326" s="41">
        <v>0</v>
      </c>
      <c r="J326" s="41">
        <f t="shared" si="81"/>
        <v>0</v>
      </c>
      <c r="K326" s="41">
        <f t="shared" si="81"/>
        <v>0</v>
      </c>
      <c r="L326" s="41">
        <f>J326+K326</f>
        <v>0</v>
      </c>
    </row>
    <row r="327" spans="1:244" customFormat="1" ht="25" x14ac:dyDescent="0.25">
      <c r="B327" s="110" t="s">
        <v>397</v>
      </c>
      <c r="C327" s="41" t="s">
        <v>53</v>
      </c>
      <c r="D327" s="41">
        <f>2</f>
        <v>2</v>
      </c>
      <c r="E327" s="45">
        <v>1.35</v>
      </c>
      <c r="F327" s="41">
        <f>D327*E327</f>
        <v>2.7</v>
      </c>
      <c r="G327" s="41" t="s">
        <v>53</v>
      </c>
      <c r="H327" s="75">
        <v>0</v>
      </c>
      <c r="I327" s="75">
        <v>0</v>
      </c>
      <c r="J327" s="41">
        <f t="shared" si="81"/>
        <v>0</v>
      </c>
      <c r="K327" s="41">
        <f t="shared" si="81"/>
        <v>0</v>
      </c>
      <c r="L327" s="41">
        <f>J327+K327</f>
        <v>0</v>
      </c>
    </row>
    <row r="328" spans="1:244" s="43" customFormat="1" ht="37.5" x14ac:dyDescent="0.25">
      <c r="A328" s="54"/>
      <c r="B328" s="44" t="s">
        <v>396</v>
      </c>
      <c r="C328" s="41" t="s">
        <v>53</v>
      </c>
      <c r="D328" s="41">
        <f>2</f>
        <v>2</v>
      </c>
      <c r="E328" s="45">
        <f>ROUND(102/1000*10.9,2)</f>
        <v>1.1100000000000001</v>
      </c>
      <c r="F328" s="55">
        <f>D328*E328</f>
        <v>2.2200000000000002</v>
      </c>
      <c r="G328" s="41" t="s">
        <v>53</v>
      </c>
      <c r="H328" s="41">
        <v>0</v>
      </c>
      <c r="I328" s="41">
        <v>0</v>
      </c>
      <c r="J328" s="41">
        <f t="shared" si="81"/>
        <v>0</v>
      </c>
      <c r="K328" s="41">
        <f t="shared" si="81"/>
        <v>0</v>
      </c>
      <c r="L328" s="41">
        <f>J328+K328</f>
        <v>0</v>
      </c>
    </row>
    <row r="329" spans="1:244" s="81" customFormat="1" ht="13" x14ac:dyDescent="0.25">
      <c r="A329" s="18"/>
      <c r="B329" s="101" t="s">
        <v>333</v>
      </c>
      <c r="C329" s="12"/>
      <c r="D329" s="24"/>
      <c r="E329" s="12"/>
      <c r="F329" s="12"/>
      <c r="G329" s="12"/>
      <c r="H329" s="11">
        <v>0</v>
      </c>
      <c r="I329" s="11">
        <v>0</v>
      </c>
      <c r="J329" s="11"/>
      <c r="K329" s="11"/>
      <c r="L329" s="11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  <c r="CH329" s="3"/>
      <c r="CI329" s="3"/>
      <c r="CJ329" s="3"/>
      <c r="CK329" s="3"/>
      <c r="CL329" s="3"/>
      <c r="CM329" s="3"/>
      <c r="CN329" s="3"/>
      <c r="CO329" s="3"/>
      <c r="CP329" s="3"/>
      <c r="CQ329" s="3"/>
      <c r="CR329" s="3"/>
      <c r="CS329" s="3"/>
      <c r="CT329" s="3"/>
      <c r="CU329" s="3"/>
      <c r="CV329" s="3"/>
      <c r="CW329" s="3"/>
      <c r="CX329" s="3"/>
      <c r="CY329" s="3"/>
      <c r="CZ329" s="3"/>
      <c r="DA329" s="3"/>
      <c r="DB329" s="3"/>
      <c r="DC329" s="3"/>
      <c r="DD329" s="3"/>
      <c r="DE329" s="3"/>
      <c r="DF329" s="3"/>
      <c r="DG329" s="3"/>
      <c r="DH329" s="3"/>
      <c r="DI329" s="3"/>
      <c r="DJ329" s="3"/>
      <c r="DK329" s="3"/>
      <c r="DL329" s="3"/>
      <c r="DM329" s="3"/>
      <c r="DN329" s="3"/>
      <c r="DO329" s="3"/>
      <c r="DP329" s="3"/>
      <c r="DQ329" s="3"/>
      <c r="DR329" s="3"/>
      <c r="DS329" s="3"/>
      <c r="DT329" s="3"/>
      <c r="DU329" s="3"/>
      <c r="DV329" s="3"/>
      <c r="DW329" s="3"/>
      <c r="DX329" s="3"/>
      <c r="DY329" s="3"/>
      <c r="DZ329" s="3"/>
      <c r="EA329" s="3"/>
      <c r="EB329" s="3"/>
      <c r="EC329" s="3"/>
      <c r="ED329" s="3"/>
      <c r="EE329" s="3"/>
      <c r="EF329" s="3"/>
      <c r="EG329" s="3"/>
      <c r="EH329" s="3"/>
      <c r="EI329" s="3"/>
      <c r="EJ329" s="3"/>
      <c r="EK329" s="3"/>
      <c r="EL329" s="3"/>
      <c r="EM329" s="3"/>
      <c r="EN329" s="3"/>
      <c r="EO329" s="3"/>
      <c r="EP329" s="3"/>
      <c r="EQ329" s="3"/>
      <c r="ER329" s="3"/>
      <c r="ES329" s="3"/>
      <c r="ET329" s="3"/>
      <c r="EU329" s="3"/>
      <c r="EV329" s="3"/>
      <c r="EW329" s="3"/>
      <c r="EX329" s="3"/>
      <c r="EY329" s="3"/>
      <c r="EZ329" s="3"/>
      <c r="FA329" s="3"/>
      <c r="FB329" s="3"/>
      <c r="FC329" s="3"/>
      <c r="FD329" s="3"/>
      <c r="FE329" s="3"/>
      <c r="FF329" s="3"/>
      <c r="FG329" s="3"/>
      <c r="FH329" s="3"/>
      <c r="FI329" s="3"/>
      <c r="FJ329" s="3"/>
      <c r="FK329" s="3"/>
      <c r="FL329" s="3"/>
      <c r="FM329" s="3"/>
      <c r="FN329" s="3"/>
      <c r="FO329" s="3"/>
      <c r="FP329" s="3"/>
      <c r="FQ329" s="3"/>
      <c r="FR329" s="3"/>
      <c r="FS329" s="3"/>
      <c r="FT329" s="3"/>
      <c r="FU329" s="3"/>
      <c r="FV329" s="3"/>
      <c r="FW329" s="3"/>
      <c r="FX329" s="3"/>
      <c r="FY329" s="3"/>
      <c r="FZ329" s="3"/>
      <c r="GA329" s="3"/>
      <c r="GB329" s="3"/>
      <c r="GC329" s="3"/>
      <c r="GD329" s="3"/>
      <c r="GE329" s="3"/>
      <c r="GF329" s="3"/>
      <c r="GG329" s="3"/>
      <c r="GH329" s="3"/>
      <c r="GI329" s="3"/>
      <c r="GJ329" s="3"/>
      <c r="GK329" s="3"/>
      <c r="GL329" s="3"/>
      <c r="GM329" s="3"/>
      <c r="GN329" s="3"/>
      <c r="GO329" s="3"/>
      <c r="GP329" s="3"/>
      <c r="GQ329" s="3"/>
      <c r="GR329" s="3"/>
      <c r="GS329" s="3"/>
      <c r="GT329" s="3"/>
      <c r="GU329" s="3"/>
      <c r="GV329" s="3"/>
      <c r="GW329" s="3"/>
      <c r="GX329" s="3"/>
      <c r="GY329" s="3"/>
      <c r="GZ329" s="3"/>
      <c r="HA329" s="3"/>
      <c r="HB329" s="3"/>
      <c r="HC329" s="3"/>
      <c r="HD329" s="3"/>
      <c r="HE329" s="3"/>
      <c r="HF329" s="3"/>
      <c r="HG329" s="3"/>
      <c r="HH329" s="3"/>
      <c r="HI329" s="3"/>
      <c r="HJ329" s="3"/>
      <c r="HK329" s="3"/>
      <c r="HL329" s="3"/>
      <c r="HM329" s="3"/>
      <c r="HN329" s="3"/>
      <c r="HO329" s="3"/>
      <c r="HP329" s="3"/>
      <c r="HQ329" s="3"/>
      <c r="HR329" s="3"/>
      <c r="HS329" s="3"/>
      <c r="HT329" s="3"/>
      <c r="HU329" s="3"/>
      <c r="HV329" s="3"/>
      <c r="HW329" s="3"/>
      <c r="HX329" s="3"/>
      <c r="HY329" s="3"/>
      <c r="HZ329" s="3"/>
      <c r="IA329" s="3"/>
      <c r="IB329" s="3"/>
      <c r="IC329" s="3"/>
      <c r="ID329" s="3"/>
      <c r="IE329" s="3"/>
      <c r="IF329" s="3"/>
      <c r="IG329" s="3"/>
      <c r="IH329" s="3"/>
      <c r="II329" s="3"/>
      <c r="IJ329" s="3"/>
    </row>
    <row r="330" spans="1:244" s="43" customFormat="1" ht="25.5" x14ac:dyDescent="0.25">
      <c r="A330" s="54"/>
      <c r="B330" s="44" t="s">
        <v>422</v>
      </c>
      <c r="C330" s="42" t="s">
        <v>53</v>
      </c>
      <c r="D330" s="46">
        <f>2</f>
        <v>2</v>
      </c>
      <c r="E330" s="45">
        <v>0.14399999999999999</v>
      </c>
      <c r="F330" s="55">
        <f t="shared" ref="F330" si="82">D330*E330</f>
        <v>0.28799999999999998</v>
      </c>
      <c r="G330" s="42" t="s">
        <v>53</v>
      </c>
      <c r="H330" s="41">
        <v>0</v>
      </c>
      <c r="I330" s="41">
        <v>0</v>
      </c>
      <c r="J330" s="41">
        <f t="shared" ref="J330" si="83">$D330*H330</f>
        <v>0</v>
      </c>
      <c r="K330" s="41">
        <f t="shared" si="81"/>
        <v>0</v>
      </c>
      <c r="L330" s="41">
        <f t="shared" ref="L330" si="84">J330+K330</f>
        <v>0</v>
      </c>
    </row>
    <row r="331" spans="1:244" s="81" customFormat="1" ht="28.5" x14ac:dyDescent="0.25">
      <c r="A331" s="54"/>
      <c r="B331" s="44" t="s">
        <v>248</v>
      </c>
      <c r="C331" s="42" t="s">
        <v>53</v>
      </c>
      <c r="D331" s="46">
        <f>1</f>
        <v>1</v>
      </c>
      <c r="E331" s="45">
        <v>6.4000000000000001E-2</v>
      </c>
      <c r="F331" s="55">
        <f>D331*E331</f>
        <v>6.4000000000000001E-2</v>
      </c>
      <c r="G331" s="42" t="s">
        <v>53</v>
      </c>
      <c r="H331" s="41">
        <v>0</v>
      </c>
      <c r="I331" s="41">
        <v>0</v>
      </c>
      <c r="J331" s="41">
        <f t="shared" ref="J331:J335" si="85">$D331*H331</f>
        <v>0</v>
      </c>
      <c r="K331" s="41">
        <f t="shared" si="81"/>
        <v>0</v>
      </c>
      <c r="L331" s="41">
        <f>J331+K331</f>
        <v>0</v>
      </c>
    </row>
    <row r="332" spans="1:244" s="43" customFormat="1" x14ac:dyDescent="0.25">
      <c r="A332" s="54"/>
      <c r="B332" s="44" t="s">
        <v>237</v>
      </c>
      <c r="C332" s="42" t="s">
        <v>53</v>
      </c>
      <c r="D332" s="46">
        <f>D330</f>
        <v>2</v>
      </c>
      <c r="E332" s="45">
        <v>0.23</v>
      </c>
      <c r="F332" s="55">
        <f t="shared" ref="F332:F334" si="86">D332*E332</f>
        <v>0.46</v>
      </c>
      <c r="G332" s="42" t="s">
        <v>53</v>
      </c>
      <c r="H332" s="41">
        <v>0</v>
      </c>
      <c r="I332" s="41">
        <v>0</v>
      </c>
      <c r="J332" s="41">
        <f t="shared" si="85"/>
        <v>0</v>
      </c>
      <c r="K332" s="41">
        <f t="shared" si="81"/>
        <v>0</v>
      </c>
      <c r="L332" s="41">
        <f t="shared" ref="L332:L334" si="87">J332+K332</f>
        <v>0</v>
      </c>
    </row>
    <row r="333" spans="1:244" s="43" customFormat="1" ht="13" x14ac:dyDescent="0.25">
      <c r="A333" s="54"/>
      <c r="B333" s="44" t="s">
        <v>411</v>
      </c>
      <c r="C333" s="42" t="s">
        <v>53</v>
      </c>
      <c r="D333" s="46">
        <f>D330</f>
        <v>2</v>
      </c>
      <c r="E333" s="45">
        <v>6.8000000000000005E-2</v>
      </c>
      <c r="F333" s="55">
        <f t="shared" si="86"/>
        <v>0.13600000000000001</v>
      </c>
      <c r="G333" s="42" t="s">
        <v>53</v>
      </c>
      <c r="H333" s="41">
        <v>0</v>
      </c>
      <c r="I333" s="41">
        <v>0</v>
      </c>
      <c r="J333" s="41">
        <f t="shared" si="85"/>
        <v>0</v>
      </c>
      <c r="K333" s="41">
        <f t="shared" si="81"/>
        <v>0</v>
      </c>
      <c r="L333" s="41">
        <f t="shared" si="87"/>
        <v>0</v>
      </c>
    </row>
    <row r="334" spans="1:244" s="43" customFormat="1" ht="13" x14ac:dyDescent="0.25">
      <c r="A334" s="54"/>
      <c r="B334" s="44" t="s">
        <v>423</v>
      </c>
      <c r="C334" s="42" t="s">
        <v>53</v>
      </c>
      <c r="D334" s="46">
        <f>D330</f>
        <v>2</v>
      </c>
      <c r="E334" s="45">
        <v>5.8000000000000003E-2</v>
      </c>
      <c r="F334" s="55">
        <f t="shared" si="86"/>
        <v>0.11600000000000001</v>
      </c>
      <c r="G334" s="42" t="s">
        <v>53</v>
      </c>
      <c r="H334" s="41">
        <v>0</v>
      </c>
      <c r="I334" s="41">
        <v>0</v>
      </c>
      <c r="J334" s="41">
        <f t="shared" si="85"/>
        <v>0</v>
      </c>
      <c r="K334" s="41">
        <f t="shared" si="81"/>
        <v>0</v>
      </c>
      <c r="L334" s="41">
        <f t="shared" si="87"/>
        <v>0</v>
      </c>
    </row>
    <row r="335" spans="1:244" s="81" customFormat="1" ht="13" x14ac:dyDescent="0.25">
      <c r="A335" s="54"/>
      <c r="B335" s="44" t="s">
        <v>334</v>
      </c>
      <c r="C335" s="42" t="s">
        <v>53</v>
      </c>
      <c r="D335" s="46">
        <v>1</v>
      </c>
      <c r="E335" s="45">
        <v>3.5000000000000003E-2</v>
      </c>
      <c r="F335" s="55">
        <f>D335*E335</f>
        <v>3.5000000000000003E-2</v>
      </c>
      <c r="G335" s="42" t="s">
        <v>53</v>
      </c>
      <c r="H335" s="41">
        <v>0</v>
      </c>
      <c r="I335" s="41">
        <v>0</v>
      </c>
      <c r="J335" s="41">
        <f t="shared" si="85"/>
        <v>0</v>
      </c>
      <c r="K335" s="41">
        <f t="shared" si="81"/>
        <v>0</v>
      </c>
      <c r="L335" s="41">
        <f>J335+K335</f>
        <v>0</v>
      </c>
    </row>
    <row r="336" spans="1:244" s="81" customFormat="1" ht="13" x14ac:dyDescent="0.25">
      <c r="A336" s="18"/>
      <c r="B336" s="101" t="s">
        <v>249</v>
      </c>
      <c r="C336" s="12"/>
      <c r="D336" s="24"/>
      <c r="E336" s="12"/>
      <c r="F336" s="12"/>
      <c r="G336" s="12"/>
      <c r="H336" s="11">
        <v>0</v>
      </c>
      <c r="I336" s="11">
        <v>0</v>
      </c>
      <c r="J336" s="11"/>
      <c r="K336" s="41">
        <f t="shared" si="81"/>
        <v>0</v>
      </c>
      <c r="L336" s="11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  <c r="CG336" s="3"/>
      <c r="CH336" s="3"/>
      <c r="CI336" s="3"/>
      <c r="CJ336" s="3"/>
      <c r="CK336" s="3"/>
      <c r="CL336" s="3"/>
      <c r="CM336" s="3"/>
      <c r="CN336" s="3"/>
      <c r="CO336" s="3"/>
      <c r="CP336" s="3"/>
      <c r="CQ336" s="3"/>
      <c r="CR336" s="3"/>
      <c r="CS336" s="3"/>
      <c r="CT336" s="3"/>
      <c r="CU336" s="3"/>
      <c r="CV336" s="3"/>
      <c r="CW336" s="3"/>
      <c r="CX336" s="3"/>
      <c r="CY336" s="3"/>
      <c r="CZ336" s="3"/>
      <c r="DA336" s="3"/>
      <c r="DB336" s="3"/>
      <c r="DC336" s="3"/>
      <c r="DD336" s="3"/>
      <c r="DE336" s="3"/>
      <c r="DF336" s="3"/>
      <c r="DG336" s="3"/>
      <c r="DH336" s="3"/>
      <c r="DI336" s="3"/>
      <c r="DJ336" s="3"/>
      <c r="DK336" s="3"/>
      <c r="DL336" s="3"/>
      <c r="DM336" s="3"/>
      <c r="DN336" s="3"/>
      <c r="DO336" s="3"/>
      <c r="DP336" s="3"/>
      <c r="DQ336" s="3"/>
      <c r="DR336" s="3"/>
      <c r="DS336" s="3"/>
      <c r="DT336" s="3"/>
      <c r="DU336" s="3"/>
      <c r="DV336" s="3"/>
      <c r="DW336" s="3"/>
      <c r="DX336" s="3"/>
      <c r="DY336" s="3"/>
      <c r="DZ336" s="3"/>
      <c r="EA336" s="3"/>
      <c r="EB336" s="3"/>
      <c r="EC336" s="3"/>
      <c r="ED336" s="3"/>
      <c r="EE336" s="3"/>
      <c r="EF336" s="3"/>
      <c r="EG336" s="3"/>
      <c r="EH336" s="3"/>
      <c r="EI336" s="3"/>
      <c r="EJ336" s="3"/>
      <c r="EK336" s="3"/>
      <c r="EL336" s="3"/>
      <c r="EM336" s="3"/>
      <c r="EN336" s="3"/>
      <c r="EO336" s="3"/>
      <c r="EP336" s="3"/>
      <c r="EQ336" s="3"/>
      <c r="ER336" s="3"/>
      <c r="ES336" s="3"/>
      <c r="ET336" s="3"/>
      <c r="EU336" s="3"/>
      <c r="EV336" s="3"/>
      <c r="EW336" s="3"/>
      <c r="EX336" s="3"/>
      <c r="EY336" s="3"/>
      <c r="EZ336" s="3"/>
      <c r="FA336" s="3"/>
      <c r="FB336" s="3"/>
      <c r="FC336" s="3"/>
      <c r="FD336" s="3"/>
      <c r="FE336" s="3"/>
      <c r="FF336" s="3"/>
      <c r="FG336" s="3"/>
      <c r="FH336" s="3"/>
      <c r="FI336" s="3"/>
      <c r="FJ336" s="3"/>
      <c r="FK336" s="3"/>
      <c r="FL336" s="3"/>
      <c r="FM336" s="3"/>
      <c r="FN336" s="3"/>
      <c r="FO336" s="3"/>
      <c r="FP336" s="3"/>
      <c r="FQ336" s="3"/>
      <c r="FR336" s="3"/>
      <c r="FS336" s="3"/>
      <c r="FT336" s="3"/>
      <c r="FU336" s="3"/>
      <c r="FV336" s="3"/>
      <c r="FW336" s="3"/>
      <c r="FX336" s="3"/>
      <c r="FY336" s="3"/>
      <c r="FZ336" s="3"/>
      <c r="GA336" s="3"/>
      <c r="GB336" s="3"/>
      <c r="GC336" s="3"/>
      <c r="GD336" s="3"/>
      <c r="GE336" s="3"/>
      <c r="GF336" s="3"/>
      <c r="GG336" s="3"/>
      <c r="GH336" s="3"/>
      <c r="GI336" s="3"/>
      <c r="GJ336" s="3"/>
      <c r="GK336" s="3"/>
      <c r="GL336" s="3"/>
      <c r="GM336" s="3"/>
      <c r="GN336" s="3"/>
      <c r="GO336" s="3"/>
      <c r="GP336" s="3"/>
      <c r="GQ336" s="3"/>
      <c r="GR336" s="3"/>
      <c r="GS336" s="3"/>
      <c r="GT336" s="3"/>
      <c r="GU336" s="3"/>
      <c r="GV336" s="3"/>
      <c r="GW336" s="3"/>
      <c r="GX336" s="3"/>
      <c r="GY336" s="3"/>
      <c r="GZ336" s="3"/>
      <c r="HA336" s="3"/>
      <c r="HB336" s="3"/>
      <c r="HC336" s="3"/>
      <c r="HD336" s="3"/>
      <c r="HE336" s="3"/>
      <c r="HF336" s="3"/>
      <c r="HG336" s="3"/>
      <c r="HH336" s="3"/>
      <c r="HI336" s="3"/>
      <c r="HJ336" s="3"/>
      <c r="HK336" s="3"/>
      <c r="HL336" s="3"/>
      <c r="HM336" s="3"/>
      <c r="HN336" s="3"/>
      <c r="HO336" s="3"/>
      <c r="HP336" s="3"/>
      <c r="HQ336" s="3"/>
      <c r="HR336" s="3"/>
      <c r="HS336" s="3"/>
      <c r="HT336" s="3"/>
      <c r="HU336" s="3"/>
      <c r="HV336" s="3"/>
      <c r="HW336" s="3"/>
      <c r="HX336" s="3"/>
      <c r="HY336" s="3"/>
      <c r="HZ336" s="3"/>
      <c r="IA336" s="3"/>
      <c r="IB336" s="3"/>
      <c r="IC336" s="3"/>
      <c r="ID336" s="3"/>
      <c r="IE336" s="3"/>
      <c r="IF336" s="3"/>
      <c r="IG336" s="3"/>
      <c r="IH336" s="3"/>
      <c r="II336" s="3"/>
      <c r="IJ336" s="3"/>
    </row>
    <row r="337" spans="1:244" s="81" customFormat="1" ht="28.5" x14ac:dyDescent="0.25">
      <c r="A337" s="54"/>
      <c r="B337" s="44" t="s">
        <v>250</v>
      </c>
      <c r="C337" s="42" t="s">
        <v>53</v>
      </c>
      <c r="D337" s="46">
        <f>2</f>
        <v>2</v>
      </c>
      <c r="E337" s="45">
        <v>8.8999999999999996E-2</v>
      </c>
      <c r="F337" s="55">
        <f>D337*E337</f>
        <v>0.17799999999999999</v>
      </c>
      <c r="G337" s="42" t="s">
        <v>53</v>
      </c>
      <c r="H337" s="41">
        <v>0</v>
      </c>
      <c r="I337" s="41">
        <v>0</v>
      </c>
      <c r="J337" s="41">
        <f>$D337*H337</f>
        <v>0</v>
      </c>
      <c r="K337" s="41">
        <f t="shared" si="81"/>
        <v>0</v>
      </c>
      <c r="L337" s="41">
        <f>J337+K337</f>
        <v>0</v>
      </c>
    </row>
    <row r="338" spans="1:244" s="81" customFormat="1" ht="13" x14ac:dyDescent="0.25">
      <c r="A338" s="18"/>
      <c r="B338" s="101" t="s">
        <v>431</v>
      </c>
      <c r="C338" s="12"/>
      <c r="D338" s="24"/>
      <c r="E338" s="12"/>
      <c r="F338" s="12"/>
      <c r="G338" s="12"/>
      <c r="H338" s="11">
        <v>0</v>
      </c>
      <c r="I338" s="11">
        <v>0</v>
      </c>
      <c r="J338" s="11"/>
      <c r="K338" s="41">
        <f t="shared" si="81"/>
        <v>0</v>
      </c>
      <c r="L338" s="11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  <c r="CG338" s="3"/>
      <c r="CH338" s="3"/>
      <c r="CI338" s="3"/>
      <c r="CJ338" s="3"/>
      <c r="CK338" s="3"/>
      <c r="CL338" s="3"/>
      <c r="CM338" s="3"/>
      <c r="CN338" s="3"/>
      <c r="CO338" s="3"/>
      <c r="CP338" s="3"/>
      <c r="CQ338" s="3"/>
      <c r="CR338" s="3"/>
      <c r="CS338" s="3"/>
      <c r="CT338" s="3"/>
      <c r="CU338" s="3"/>
      <c r="CV338" s="3"/>
      <c r="CW338" s="3"/>
      <c r="CX338" s="3"/>
      <c r="CY338" s="3"/>
      <c r="CZ338" s="3"/>
      <c r="DA338" s="3"/>
      <c r="DB338" s="3"/>
      <c r="DC338" s="3"/>
      <c r="DD338" s="3"/>
      <c r="DE338" s="3"/>
      <c r="DF338" s="3"/>
      <c r="DG338" s="3"/>
      <c r="DH338" s="3"/>
      <c r="DI338" s="3"/>
      <c r="DJ338" s="3"/>
      <c r="DK338" s="3"/>
      <c r="DL338" s="3"/>
      <c r="DM338" s="3"/>
      <c r="DN338" s="3"/>
      <c r="DO338" s="3"/>
      <c r="DP338" s="3"/>
      <c r="DQ338" s="3"/>
      <c r="DR338" s="3"/>
      <c r="DS338" s="3"/>
      <c r="DT338" s="3"/>
      <c r="DU338" s="3"/>
      <c r="DV338" s="3"/>
      <c r="DW338" s="3"/>
      <c r="DX338" s="3"/>
      <c r="DY338" s="3"/>
      <c r="DZ338" s="3"/>
      <c r="EA338" s="3"/>
      <c r="EB338" s="3"/>
      <c r="EC338" s="3"/>
      <c r="ED338" s="3"/>
      <c r="EE338" s="3"/>
      <c r="EF338" s="3"/>
      <c r="EG338" s="3"/>
      <c r="EH338" s="3"/>
      <c r="EI338" s="3"/>
      <c r="EJ338" s="3"/>
      <c r="EK338" s="3"/>
      <c r="EL338" s="3"/>
      <c r="EM338" s="3"/>
      <c r="EN338" s="3"/>
      <c r="EO338" s="3"/>
      <c r="EP338" s="3"/>
      <c r="EQ338" s="3"/>
      <c r="ER338" s="3"/>
      <c r="ES338" s="3"/>
      <c r="ET338" s="3"/>
      <c r="EU338" s="3"/>
      <c r="EV338" s="3"/>
      <c r="EW338" s="3"/>
      <c r="EX338" s="3"/>
      <c r="EY338" s="3"/>
      <c r="EZ338" s="3"/>
      <c r="FA338" s="3"/>
      <c r="FB338" s="3"/>
      <c r="FC338" s="3"/>
      <c r="FD338" s="3"/>
      <c r="FE338" s="3"/>
      <c r="FF338" s="3"/>
      <c r="FG338" s="3"/>
      <c r="FH338" s="3"/>
      <c r="FI338" s="3"/>
      <c r="FJ338" s="3"/>
      <c r="FK338" s="3"/>
      <c r="FL338" s="3"/>
      <c r="FM338" s="3"/>
      <c r="FN338" s="3"/>
      <c r="FO338" s="3"/>
      <c r="FP338" s="3"/>
      <c r="FQ338" s="3"/>
      <c r="FR338" s="3"/>
      <c r="FS338" s="3"/>
      <c r="FT338" s="3"/>
      <c r="FU338" s="3"/>
      <c r="FV338" s="3"/>
      <c r="FW338" s="3"/>
      <c r="FX338" s="3"/>
      <c r="FY338" s="3"/>
      <c r="FZ338" s="3"/>
      <c r="GA338" s="3"/>
      <c r="GB338" s="3"/>
      <c r="GC338" s="3"/>
      <c r="GD338" s="3"/>
      <c r="GE338" s="3"/>
      <c r="GF338" s="3"/>
      <c r="GG338" s="3"/>
      <c r="GH338" s="3"/>
      <c r="GI338" s="3"/>
      <c r="GJ338" s="3"/>
      <c r="GK338" s="3"/>
      <c r="GL338" s="3"/>
      <c r="GM338" s="3"/>
      <c r="GN338" s="3"/>
      <c r="GO338" s="3"/>
      <c r="GP338" s="3"/>
      <c r="GQ338" s="3"/>
      <c r="GR338" s="3"/>
      <c r="GS338" s="3"/>
      <c r="GT338" s="3"/>
      <c r="GU338" s="3"/>
      <c r="GV338" s="3"/>
      <c r="GW338" s="3"/>
      <c r="GX338" s="3"/>
      <c r="GY338" s="3"/>
      <c r="GZ338" s="3"/>
      <c r="HA338" s="3"/>
      <c r="HB338" s="3"/>
      <c r="HC338" s="3"/>
      <c r="HD338" s="3"/>
      <c r="HE338" s="3"/>
      <c r="HF338" s="3"/>
      <c r="HG338" s="3"/>
      <c r="HH338" s="3"/>
      <c r="HI338" s="3"/>
      <c r="HJ338" s="3"/>
      <c r="HK338" s="3"/>
      <c r="HL338" s="3"/>
      <c r="HM338" s="3"/>
      <c r="HN338" s="3"/>
      <c r="HO338" s="3"/>
      <c r="HP338" s="3"/>
      <c r="HQ338" s="3"/>
      <c r="HR338" s="3"/>
      <c r="HS338" s="3"/>
      <c r="HT338" s="3"/>
      <c r="HU338" s="3"/>
      <c r="HV338" s="3"/>
      <c r="HW338" s="3"/>
      <c r="HX338" s="3"/>
      <c r="HY338" s="3"/>
      <c r="HZ338" s="3"/>
      <c r="IA338" s="3"/>
      <c r="IB338" s="3"/>
      <c r="IC338" s="3"/>
      <c r="ID338" s="3"/>
      <c r="IE338" s="3"/>
      <c r="IF338" s="3"/>
      <c r="IG338" s="3"/>
      <c r="IH338" s="3"/>
      <c r="II338" s="3"/>
      <c r="IJ338" s="3"/>
    </row>
    <row r="339" spans="1:244" s="43" customFormat="1" ht="13" x14ac:dyDescent="0.25">
      <c r="A339" s="54"/>
      <c r="B339" s="44" t="s">
        <v>416</v>
      </c>
      <c r="C339" s="42" t="s">
        <v>53</v>
      </c>
      <c r="D339" s="46">
        <f>1</f>
        <v>1</v>
      </c>
      <c r="E339" s="45">
        <v>1.3</v>
      </c>
      <c r="F339" s="55">
        <f t="shared" ref="F339:F342" si="88">D339*E339</f>
        <v>1.3</v>
      </c>
      <c r="G339" s="42" t="s">
        <v>53</v>
      </c>
      <c r="H339" s="41">
        <v>0</v>
      </c>
      <c r="I339" s="41">
        <v>0</v>
      </c>
      <c r="J339" s="41">
        <f t="shared" ref="J339:K344" si="89">$D339*H339</f>
        <v>0</v>
      </c>
      <c r="K339" s="41">
        <f t="shared" si="81"/>
        <v>0</v>
      </c>
      <c r="L339" s="41">
        <f t="shared" ref="L339:L342" si="90">J339+K339</f>
        <v>0</v>
      </c>
    </row>
    <row r="340" spans="1:244" s="43" customFormat="1" ht="13" x14ac:dyDescent="0.25">
      <c r="A340" s="54"/>
      <c r="B340" s="44" t="s">
        <v>417</v>
      </c>
      <c r="C340" s="42" t="s">
        <v>53</v>
      </c>
      <c r="D340" s="46">
        <f>D339</f>
        <v>1</v>
      </c>
      <c r="E340" s="45">
        <f>0.163</f>
        <v>0.16300000000000001</v>
      </c>
      <c r="F340" s="55">
        <f t="shared" si="88"/>
        <v>0.16300000000000001</v>
      </c>
      <c r="G340" s="42" t="s">
        <v>53</v>
      </c>
      <c r="H340" s="41">
        <v>0</v>
      </c>
      <c r="I340" s="41"/>
      <c r="J340" s="41">
        <f t="shared" si="89"/>
        <v>0</v>
      </c>
      <c r="K340" s="41">
        <f t="shared" si="81"/>
        <v>0</v>
      </c>
      <c r="L340" s="41">
        <f t="shared" si="90"/>
        <v>0</v>
      </c>
    </row>
    <row r="341" spans="1:244" s="43" customFormat="1" x14ac:dyDescent="0.25">
      <c r="A341" s="54"/>
      <c r="B341" s="44" t="s">
        <v>432</v>
      </c>
      <c r="C341" s="42" t="s">
        <v>53</v>
      </c>
      <c r="D341" s="46">
        <f>D339</f>
        <v>1</v>
      </c>
      <c r="E341" s="45">
        <v>0.317</v>
      </c>
      <c r="F341" s="55">
        <f t="shared" si="88"/>
        <v>0.317</v>
      </c>
      <c r="G341" s="42" t="s">
        <v>53</v>
      </c>
      <c r="H341" s="41">
        <v>0</v>
      </c>
      <c r="I341" s="41">
        <v>0</v>
      </c>
      <c r="J341" s="41">
        <f t="shared" si="89"/>
        <v>0</v>
      </c>
      <c r="K341" s="41">
        <f t="shared" si="89"/>
        <v>0</v>
      </c>
      <c r="L341" s="41">
        <f t="shared" si="90"/>
        <v>0</v>
      </c>
    </row>
    <row r="342" spans="1:244" s="43" customFormat="1" ht="13" x14ac:dyDescent="0.25">
      <c r="A342" s="54"/>
      <c r="B342" s="44" t="s">
        <v>419</v>
      </c>
      <c r="C342" s="42" t="s">
        <v>53</v>
      </c>
      <c r="D342" s="46">
        <f>D340</f>
        <v>1</v>
      </c>
      <c r="E342" s="45">
        <v>9.6000000000000002E-2</v>
      </c>
      <c r="F342" s="55">
        <f t="shared" si="88"/>
        <v>9.6000000000000002E-2</v>
      </c>
      <c r="G342" s="42" t="s">
        <v>53</v>
      </c>
      <c r="H342" s="41">
        <v>0</v>
      </c>
      <c r="I342" s="41">
        <v>0</v>
      </c>
      <c r="J342" s="41">
        <f t="shared" si="89"/>
        <v>0</v>
      </c>
      <c r="K342" s="41">
        <f t="shared" si="89"/>
        <v>0</v>
      </c>
      <c r="L342" s="41">
        <f t="shared" si="90"/>
        <v>0</v>
      </c>
    </row>
    <row r="343" spans="1:244" s="81" customFormat="1" ht="13" x14ac:dyDescent="0.25">
      <c r="A343" s="18"/>
      <c r="B343" s="101" t="s">
        <v>390</v>
      </c>
      <c r="C343" s="12"/>
      <c r="D343" s="24"/>
      <c r="E343" s="12"/>
      <c r="F343" s="12"/>
      <c r="G343" s="12"/>
      <c r="H343" s="11">
        <v>0</v>
      </c>
      <c r="I343" s="11">
        <v>0</v>
      </c>
      <c r="J343" s="11"/>
      <c r="K343" s="41">
        <f t="shared" si="89"/>
        <v>0</v>
      </c>
      <c r="L343" s="11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  <c r="CG343" s="3"/>
      <c r="CH343" s="3"/>
      <c r="CI343" s="3"/>
      <c r="CJ343" s="3"/>
      <c r="CK343" s="3"/>
      <c r="CL343" s="3"/>
      <c r="CM343" s="3"/>
      <c r="CN343" s="3"/>
      <c r="CO343" s="3"/>
      <c r="CP343" s="3"/>
      <c r="CQ343" s="3"/>
      <c r="CR343" s="3"/>
      <c r="CS343" s="3"/>
      <c r="CT343" s="3"/>
      <c r="CU343" s="3"/>
      <c r="CV343" s="3"/>
      <c r="CW343" s="3"/>
      <c r="CX343" s="3"/>
      <c r="CY343" s="3"/>
      <c r="CZ343" s="3"/>
      <c r="DA343" s="3"/>
      <c r="DB343" s="3"/>
      <c r="DC343" s="3"/>
      <c r="DD343" s="3"/>
      <c r="DE343" s="3"/>
      <c r="DF343" s="3"/>
      <c r="DG343" s="3"/>
      <c r="DH343" s="3"/>
      <c r="DI343" s="3"/>
      <c r="DJ343" s="3"/>
      <c r="DK343" s="3"/>
      <c r="DL343" s="3"/>
      <c r="DM343" s="3"/>
      <c r="DN343" s="3"/>
      <c r="DO343" s="3"/>
      <c r="DP343" s="3"/>
      <c r="DQ343" s="3"/>
      <c r="DR343" s="3"/>
      <c r="DS343" s="3"/>
      <c r="DT343" s="3"/>
      <c r="DU343" s="3"/>
      <c r="DV343" s="3"/>
      <c r="DW343" s="3"/>
      <c r="DX343" s="3"/>
      <c r="DY343" s="3"/>
      <c r="DZ343" s="3"/>
      <c r="EA343" s="3"/>
      <c r="EB343" s="3"/>
      <c r="EC343" s="3"/>
      <c r="ED343" s="3"/>
      <c r="EE343" s="3"/>
      <c r="EF343" s="3"/>
      <c r="EG343" s="3"/>
      <c r="EH343" s="3"/>
      <c r="EI343" s="3"/>
      <c r="EJ343" s="3"/>
      <c r="EK343" s="3"/>
      <c r="EL343" s="3"/>
      <c r="EM343" s="3"/>
      <c r="EN343" s="3"/>
      <c r="EO343" s="3"/>
      <c r="EP343" s="3"/>
      <c r="EQ343" s="3"/>
      <c r="ER343" s="3"/>
      <c r="ES343" s="3"/>
      <c r="ET343" s="3"/>
      <c r="EU343" s="3"/>
      <c r="EV343" s="3"/>
      <c r="EW343" s="3"/>
      <c r="EX343" s="3"/>
      <c r="EY343" s="3"/>
      <c r="EZ343" s="3"/>
      <c r="FA343" s="3"/>
      <c r="FB343" s="3"/>
      <c r="FC343" s="3"/>
      <c r="FD343" s="3"/>
      <c r="FE343" s="3"/>
      <c r="FF343" s="3"/>
      <c r="FG343" s="3"/>
      <c r="FH343" s="3"/>
      <c r="FI343" s="3"/>
      <c r="FJ343" s="3"/>
      <c r="FK343" s="3"/>
      <c r="FL343" s="3"/>
      <c r="FM343" s="3"/>
      <c r="FN343" s="3"/>
      <c r="FO343" s="3"/>
      <c r="FP343" s="3"/>
      <c r="FQ343" s="3"/>
      <c r="FR343" s="3"/>
      <c r="FS343" s="3"/>
      <c r="FT343" s="3"/>
      <c r="FU343" s="3"/>
      <c r="FV343" s="3"/>
      <c r="FW343" s="3"/>
      <c r="FX343" s="3"/>
      <c r="FY343" s="3"/>
      <c r="FZ343" s="3"/>
      <c r="GA343" s="3"/>
      <c r="GB343" s="3"/>
      <c r="GC343" s="3"/>
      <c r="GD343" s="3"/>
      <c r="GE343" s="3"/>
      <c r="GF343" s="3"/>
      <c r="GG343" s="3"/>
      <c r="GH343" s="3"/>
      <c r="GI343" s="3"/>
      <c r="GJ343" s="3"/>
      <c r="GK343" s="3"/>
      <c r="GL343" s="3"/>
      <c r="GM343" s="3"/>
      <c r="GN343" s="3"/>
      <c r="GO343" s="3"/>
      <c r="GP343" s="3"/>
      <c r="GQ343" s="3"/>
      <c r="GR343" s="3"/>
      <c r="GS343" s="3"/>
      <c r="GT343" s="3"/>
      <c r="GU343" s="3"/>
      <c r="GV343" s="3"/>
      <c r="GW343" s="3"/>
      <c r="GX343" s="3"/>
      <c r="GY343" s="3"/>
      <c r="GZ343" s="3"/>
      <c r="HA343" s="3"/>
      <c r="HB343" s="3"/>
      <c r="HC343" s="3"/>
      <c r="HD343" s="3"/>
      <c r="HE343" s="3"/>
      <c r="HF343" s="3"/>
      <c r="HG343" s="3"/>
      <c r="HH343" s="3"/>
      <c r="HI343" s="3"/>
      <c r="HJ343" s="3"/>
      <c r="HK343" s="3"/>
      <c r="HL343" s="3"/>
      <c r="HM343" s="3"/>
      <c r="HN343" s="3"/>
      <c r="HO343" s="3"/>
      <c r="HP343" s="3"/>
      <c r="HQ343" s="3"/>
      <c r="HR343" s="3"/>
      <c r="HS343" s="3"/>
      <c r="HT343" s="3"/>
      <c r="HU343" s="3"/>
      <c r="HV343" s="3"/>
      <c r="HW343" s="3"/>
      <c r="HX343" s="3"/>
      <c r="HY343" s="3"/>
      <c r="HZ343" s="3"/>
      <c r="IA343" s="3"/>
      <c r="IB343" s="3"/>
      <c r="IC343" s="3"/>
      <c r="ID343" s="3"/>
      <c r="IE343" s="3"/>
      <c r="IF343" s="3"/>
      <c r="IG343" s="3"/>
      <c r="IH343" s="3"/>
      <c r="II343" s="3"/>
      <c r="IJ343" s="3"/>
    </row>
    <row r="344" spans="1:244" s="43" customFormat="1" ht="25.5" x14ac:dyDescent="0.25">
      <c r="A344" s="54"/>
      <c r="B344" s="44" t="s">
        <v>391</v>
      </c>
      <c r="C344" s="42" t="s">
        <v>53</v>
      </c>
      <c r="D344" s="46">
        <f>3</f>
        <v>3</v>
      </c>
      <c r="E344" s="45">
        <v>2.7E-2</v>
      </c>
      <c r="F344" s="55">
        <f>D344*E344</f>
        <v>8.1000000000000003E-2</v>
      </c>
      <c r="G344" s="42" t="s">
        <v>53</v>
      </c>
      <c r="H344" s="41">
        <v>0</v>
      </c>
      <c r="I344" s="41">
        <v>0</v>
      </c>
      <c r="J344" s="41">
        <f t="shared" ref="J344:J351" si="91">$D344*H344</f>
        <v>0</v>
      </c>
      <c r="K344" s="41">
        <f t="shared" si="89"/>
        <v>0</v>
      </c>
      <c r="L344" s="41">
        <f>J344+K344</f>
        <v>0</v>
      </c>
    </row>
    <row r="345" spans="1:244" ht="15" x14ac:dyDescent="0.25">
      <c r="A345" s="18"/>
      <c r="B345" s="101" t="s">
        <v>251</v>
      </c>
      <c r="C345" s="12"/>
      <c r="D345" s="24">
        <f>2</f>
        <v>2</v>
      </c>
      <c r="E345" s="12"/>
      <c r="F345" s="12"/>
      <c r="G345" s="12"/>
      <c r="H345" s="11">
        <v>0</v>
      </c>
      <c r="I345" s="11">
        <v>0</v>
      </c>
      <c r="J345" s="11">
        <f t="shared" si="91"/>
        <v>0</v>
      </c>
      <c r="K345" s="11"/>
      <c r="L345" s="11"/>
    </row>
    <row r="346" spans="1:244" ht="28.5" x14ac:dyDescent="0.25">
      <c r="A346" s="54"/>
      <c r="B346" s="44" t="s">
        <v>424</v>
      </c>
      <c r="C346" s="42" t="s">
        <v>53</v>
      </c>
      <c r="D346" s="46">
        <f>D345</f>
        <v>2</v>
      </c>
      <c r="E346" s="45">
        <v>8.0000000000000002E-3</v>
      </c>
      <c r="F346" s="55">
        <f>D346*E346</f>
        <v>1.6E-2</v>
      </c>
      <c r="G346" s="42" t="s">
        <v>53</v>
      </c>
      <c r="H346" s="41">
        <v>0</v>
      </c>
      <c r="I346" s="41">
        <v>0</v>
      </c>
      <c r="J346" s="41">
        <f t="shared" si="91"/>
        <v>0</v>
      </c>
      <c r="K346" s="41">
        <f t="shared" ref="K346" si="92">$D346*I346</f>
        <v>0</v>
      </c>
      <c r="L346" s="41">
        <f>J346+K346</f>
        <v>0</v>
      </c>
      <c r="M346" s="81"/>
      <c r="N346" s="81"/>
      <c r="O346" s="81"/>
      <c r="P346" s="81"/>
      <c r="Q346" s="81"/>
      <c r="R346" s="81"/>
      <c r="S346" s="81"/>
      <c r="T346" s="81"/>
      <c r="U346" s="81"/>
      <c r="V346" s="81"/>
      <c r="W346" s="81"/>
      <c r="X346" s="81"/>
      <c r="Y346" s="81"/>
      <c r="Z346" s="81"/>
      <c r="AA346" s="81"/>
      <c r="AB346" s="81"/>
      <c r="AC346" s="81"/>
      <c r="AD346" s="81"/>
      <c r="AE346" s="81"/>
      <c r="AF346" s="81"/>
      <c r="AG346" s="81"/>
      <c r="AH346" s="81"/>
      <c r="AI346" s="81"/>
      <c r="AJ346" s="81"/>
      <c r="AK346" s="81"/>
      <c r="AL346" s="81"/>
      <c r="AM346" s="81"/>
      <c r="AN346" s="81"/>
      <c r="AO346" s="81"/>
      <c r="AP346" s="81"/>
      <c r="AQ346" s="81"/>
      <c r="AR346" s="81"/>
      <c r="AS346" s="81"/>
      <c r="AT346" s="81"/>
      <c r="AU346" s="81"/>
      <c r="AV346" s="81"/>
      <c r="AW346" s="81"/>
      <c r="AX346" s="81"/>
      <c r="AY346" s="81"/>
      <c r="AZ346" s="81"/>
      <c r="BA346" s="81"/>
      <c r="BB346" s="81"/>
      <c r="BC346" s="81"/>
      <c r="BD346" s="81"/>
      <c r="BE346" s="81"/>
      <c r="BF346" s="81"/>
      <c r="BG346" s="81"/>
      <c r="BH346" s="81"/>
      <c r="BI346" s="81"/>
      <c r="BJ346" s="81"/>
      <c r="BK346" s="81"/>
      <c r="BL346" s="81"/>
      <c r="BM346" s="81"/>
      <c r="BN346" s="81"/>
      <c r="BO346" s="81"/>
      <c r="BP346" s="81"/>
      <c r="BQ346" s="81"/>
      <c r="BR346" s="81"/>
      <c r="BS346" s="81"/>
      <c r="BT346" s="81"/>
      <c r="BU346" s="81"/>
      <c r="BV346" s="81"/>
      <c r="BW346" s="81"/>
      <c r="BX346" s="81"/>
      <c r="BY346" s="81"/>
      <c r="BZ346" s="81"/>
      <c r="CA346" s="81"/>
      <c r="CB346" s="81"/>
      <c r="CC346" s="81"/>
      <c r="CD346" s="81"/>
      <c r="CE346" s="81"/>
      <c r="CF346" s="81"/>
      <c r="CG346" s="81"/>
      <c r="CH346" s="81"/>
      <c r="CI346" s="81"/>
      <c r="CJ346" s="81"/>
      <c r="CK346" s="81"/>
      <c r="CL346" s="81"/>
      <c r="CM346" s="81"/>
      <c r="CN346" s="81"/>
      <c r="CO346" s="81"/>
      <c r="CP346" s="81"/>
      <c r="CQ346" s="81"/>
      <c r="CR346" s="81"/>
      <c r="CS346" s="81"/>
      <c r="CT346" s="81"/>
      <c r="CU346" s="81"/>
      <c r="CV346" s="81"/>
      <c r="CW346" s="81"/>
      <c r="CX346" s="81"/>
      <c r="CY346" s="81"/>
      <c r="CZ346" s="81"/>
      <c r="DA346" s="81"/>
      <c r="DB346" s="81"/>
      <c r="DC346" s="81"/>
      <c r="DD346" s="81"/>
      <c r="DE346" s="81"/>
      <c r="DF346" s="81"/>
      <c r="DG346" s="81"/>
      <c r="DH346" s="81"/>
      <c r="DI346" s="81"/>
      <c r="DJ346" s="81"/>
      <c r="DK346" s="81"/>
      <c r="DL346" s="81"/>
      <c r="DM346" s="81"/>
      <c r="DN346" s="81"/>
      <c r="DO346" s="81"/>
      <c r="DP346" s="81"/>
      <c r="DQ346" s="81"/>
      <c r="DR346" s="81"/>
      <c r="DS346" s="81"/>
      <c r="DT346" s="81"/>
      <c r="DU346" s="81"/>
      <c r="DV346" s="81"/>
      <c r="DW346" s="81"/>
      <c r="DX346" s="81"/>
      <c r="DY346" s="81"/>
      <c r="DZ346" s="81"/>
      <c r="EA346" s="81"/>
      <c r="EB346" s="81"/>
      <c r="EC346" s="81"/>
      <c r="ED346" s="81"/>
      <c r="EE346" s="81"/>
      <c r="EF346" s="81"/>
      <c r="EG346" s="81"/>
      <c r="EH346" s="81"/>
      <c r="EI346" s="81"/>
      <c r="EJ346" s="81"/>
      <c r="EK346" s="81"/>
      <c r="EL346" s="81"/>
      <c r="EM346" s="81"/>
      <c r="EN346" s="81"/>
      <c r="EO346" s="81"/>
      <c r="EP346" s="81"/>
      <c r="EQ346" s="81"/>
      <c r="ER346" s="81"/>
      <c r="ES346" s="81"/>
      <c r="ET346" s="81"/>
      <c r="EU346" s="81"/>
      <c r="EV346" s="81"/>
      <c r="EW346" s="81"/>
      <c r="EX346" s="81"/>
      <c r="EY346" s="81"/>
      <c r="EZ346" s="81"/>
      <c r="FA346" s="81"/>
      <c r="FB346" s="81"/>
      <c r="FC346" s="81"/>
      <c r="FD346" s="81"/>
      <c r="FE346" s="81"/>
      <c r="FF346" s="81"/>
      <c r="FG346" s="81"/>
      <c r="FH346" s="81"/>
      <c r="FI346" s="81"/>
      <c r="FJ346" s="81"/>
      <c r="FK346" s="81"/>
      <c r="FL346" s="81"/>
      <c r="FM346" s="81"/>
      <c r="FN346" s="81"/>
      <c r="FO346" s="81"/>
      <c r="FP346" s="81"/>
      <c r="FQ346" s="81"/>
      <c r="FR346" s="81"/>
      <c r="FS346" s="81"/>
      <c r="FT346" s="81"/>
      <c r="FU346" s="81"/>
      <c r="FV346" s="81"/>
      <c r="FW346" s="81"/>
      <c r="FX346" s="81"/>
      <c r="FY346" s="81"/>
      <c r="FZ346" s="81"/>
      <c r="GA346" s="81"/>
      <c r="GB346" s="81"/>
      <c r="GC346" s="81"/>
      <c r="GD346" s="81"/>
      <c r="GE346" s="81"/>
      <c r="GF346" s="81"/>
      <c r="GG346" s="81"/>
      <c r="GH346" s="81"/>
      <c r="GI346" s="81"/>
      <c r="GJ346" s="81"/>
      <c r="GK346" s="81"/>
      <c r="GL346" s="81"/>
      <c r="GM346" s="81"/>
      <c r="GN346" s="81"/>
      <c r="GO346" s="81"/>
      <c r="GP346" s="81"/>
      <c r="GQ346" s="81"/>
      <c r="GR346" s="81"/>
      <c r="GS346" s="81"/>
      <c r="GT346" s="81"/>
      <c r="GU346" s="81"/>
      <c r="GV346" s="81"/>
      <c r="GW346" s="81"/>
      <c r="GX346" s="81"/>
      <c r="GY346" s="81"/>
      <c r="GZ346" s="81"/>
      <c r="HA346" s="81"/>
      <c r="HB346" s="81"/>
      <c r="HC346" s="81"/>
      <c r="HD346" s="81"/>
      <c r="HE346" s="81"/>
      <c r="HF346" s="81"/>
      <c r="HG346" s="81"/>
      <c r="HH346" s="81"/>
      <c r="HI346" s="81"/>
      <c r="HJ346" s="81"/>
      <c r="HK346" s="81"/>
      <c r="HL346" s="81"/>
      <c r="HM346" s="81"/>
      <c r="HN346" s="81"/>
      <c r="HO346" s="81"/>
      <c r="HP346" s="81"/>
      <c r="HQ346" s="81"/>
      <c r="HR346" s="81"/>
      <c r="HS346" s="81"/>
      <c r="HT346" s="81"/>
      <c r="HU346" s="81"/>
      <c r="HV346" s="81"/>
      <c r="HW346" s="81"/>
      <c r="HX346" s="81"/>
      <c r="HY346" s="81"/>
      <c r="HZ346" s="81"/>
      <c r="IA346" s="81"/>
      <c r="IB346" s="81"/>
      <c r="IC346" s="81"/>
      <c r="ID346" s="81"/>
      <c r="IE346" s="81"/>
      <c r="IF346" s="81"/>
      <c r="IG346" s="81"/>
      <c r="IH346" s="81"/>
      <c r="II346" s="81"/>
      <c r="IJ346" s="81"/>
    </row>
    <row r="347" spans="1:244" s="81" customFormat="1" ht="15" x14ac:dyDescent="0.25">
      <c r="A347" s="18"/>
      <c r="B347" s="101" t="s">
        <v>252</v>
      </c>
      <c r="C347" s="12"/>
      <c r="D347" s="24">
        <f>4</f>
        <v>4</v>
      </c>
      <c r="E347" s="12"/>
      <c r="F347" s="12"/>
      <c r="G347" s="12"/>
      <c r="H347" s="11">
        <v>0</v>
      </c>
      <c r="I347" s="11">
        <v>0</v>
      </c>
      <c r="J347" s="11">
        <f t="shared" si="91"/>
        <v>0</v>
      </c>
      <c r="K347" s="11"/>
      <c r="L347" s="11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  <c r="CG347" s="3"/>
      <c r="CH347" s="3"/>
      <c r="CI347" s="3"/>
      <c r="CJ347" s="3"/>
      <c r="CK347" s="3"/>
      <c r="CL347" s="3"/>
      <c r="CM347" s="3"/>
      <c r="CN347" s="3"/>
      <c r="CO347" s="3"/>
      <c r="CP347" s="3"/>
      <c r="CQ347" s="3"/>
      <c r="CR347" s="3"/>
      <c r="CS347" s="3"/>
      <c r="CT347" s="3"/>
      <c r="CU347" s="3"/>
      <c r="CV347" s="3"/>
      <c r="CW347" s="3"/>
      <c r="CX347" s="3"/>
      <c r="CY347" s="3"/>
      <c r="CZ347" s="3"/>
      <c r="DA347" s="3"/>
      <c r="DB347" s="3"/>
      <c r="DC347" s="3"/>
      <c r="DD347" s="3"/>
      <c r="DE347" s="3"/>
      <c r="DF347" s="3"/>
      <c r="DG347" s="3"/>
      <c r="DH347" s="3"/>
      <c r="DI347" s="3"/>
      <c r="DJ347" s="3"/>
      <c r="DK347" s="3"/>
      <c r="DL347" s="3"/>
      <c r="DM347" s="3"/>
      <c r="DN347" s="3"/>
      <c r="DO347" s="3"/>
      <c r="DP347" s="3"/>
      <c r="DQ347" s="3"/>
      <c r="DR347" s="3"/>
      <c r="DS347" s="3"/>
      <c r="DT347" s="3"/>
      <c r="DU347" s="3"/>
      <c r="DV347" s="3"/>
      <c r="DW347" s="3"/>
      <c r="DX347" s="3"/>
      <c r="DY347" s="3"/>
      <c r="DZ347" s="3"/>
      <c r="EA347" s="3"/>
      <c r="EB347" s="3"/>
      <c r="EC347" s="3"/>
      <c r="ED347" s="3"/>
      <c r="EE347" s="3"/>
      <c r="EF347" s="3"/>
      <c r="EG347" s="3"/>
      <c r="EH347" s="3"/>
      <c r="EI347" s="3"/>
      <c r="EJ347" s="3"/>
      <c r="EK347" s="3"/>
      <c r="EL347" s="3"/>
      <c r="EM347" s="3"/>
      <c r="EN347" s="3"/>
      <c r="EO347" s="3"/>
      <c r="EP347" s="3"/>
      <c r="EQ347" s="3"/>
      <c r="ER347" s="3"/>
      <c r="ES347" s="3"/>
      <c r="ET347" s="3"/>
      <c r="EU347" s="3"/>
      <c r="EV347" s="3"/>
      <c r="EW347" s="3"/>
      <c r="EX347" s="3"/>
      <c r="EY347" s="3"/>
      <c r="EZ347" s="3"/>
      <c r="FA347" s="3"/>
      <c r="FB347" s="3"/>
      <c r="FC347" s="3"/>
      <c r="FD347" s="3"/>
      <c r="FE347" s="3"/>
      <c r="FF347" s="3"/>
      <c r="FG347" s="3"/>
      <c r="FH347" s="3"/>
      <c r="FI347" s="3"/>
      <c r="FJ347" s="3"/>
      <c r="FK347" s="3"/>
      <c r="FL347" s="3"/>
      <c r="FM347" s="3"/>
      <c r="FN347" s="3"/>
      <c r="FO347" s="3"/>
      <c r="FP347" s="3"/>
      <c r="FQ347" s="3"/>
      <c r="FR347" s="3"/>
      <c r="FS347" s="3"/>
      <c r="FT347" s="3"/>
      <c r="FU347" s="3"/>
      <c r="FV347" s="3"/>
      <c r="FW347" s="3"/>
      <c r="FX347" s="3"/>
      <c r="FY347" s="3"/>
      <c r="FZ347" s="3"/>
      <c r="GA347" s="3"/>
      <c r="GB347" s="3"/>
      <c r="GC347" s="3"/>
      <c r="GD347" s="3"/>
      <c r="GE347" s="3"/>
      <c r="GF347" s="3"/>
      <c r="GG347" s="3"/>
      <c r="GH347" s="3"/>
      <c r="GI347" s="3"/>
      <c r="GJ347" s="3"/>
      <c r="GK347" s="3"/>
      <c r="GL347" s="3"/>
      <c r="GM347" s="3"/>
      <c r="GN347" s="3"/>
      <c r="GO347" s="3"/>
      <c r="GP347" s="3"/>
      <c r="GQ347" s="3"/>
      <c r="GR347" s="3"/>
      <c r="GS347" s="3"/>
      <c r="GT347" s="3"/>
      <c r="GU347" s="3"/>
      <c r="GV347" s="3"/>
      <c r="GW347" s="3"/>
      <c r="GX347" s="3"/>
      <c r="GY347" s="3"/>
      <c r="GZ347" s="3"/>
      <c r="HA347" s="3"/>
      <c r="HB347" s="3"/>
      <c r="HC347" s="3"/>
      <c r="HD347" s="3"/>
      <c r="HE347" s="3"/>
      <c r="HF347" s="3"/>
      <c r="HG347" s="3"/>
      <c r="HH347" s="3"/>
      <c r="HI347" s="3"/>
      <c r="HJ347" s="3"/>
      <c r="HK347" s="3"/>
      <c r="HL347" s="3"/>
      <c r="HM347" s="3"/>
      <c r="HN347" s="3"/>
      <c r="HO347" s="3"/>
      <c r="HP347" s="3"/>
      <c r="HQ347" s="3"/>
      <c r="HR347" s="3"/>
      <c r="HS347" s="3"/>
      <c r="HT347" s="3"/>
      <c r="HU347" s="3"/>
      <c r="HV347" s="3"/>
      <c r="HW347" s="3"/>
      <c r="HX347" s="3"/>
      <c r="HY347" s="3"/>
      <c r="HZ347" s="3"/>
      <c r="IA347" s="3"/>
      <c r="IB347" s="3"/>
      <c r="IC347" s="3"/>
      <c r="ID347" s="3"/>
      <c r="IE347" s="3"/>
      <c r="IF347" s="3"/>
      <c r="IG347" s="3"/>
      <c r="IH347" s="3"/>
      <c r="II347" s="3"/>
      <c r="IJ347" s="3"/>
    </row>
    <row r="348" spans="1:244" s="81" customFormat="1" ht="28.5" x14ac:dyDescent="0.25">
      <c r="A348" s="54"/>
      <c r="B348" s="44" t="s">
        <v>425</v>
      </c>
      <c r="C348" s="42" t="s">
        <v>53</v>
      </c>
      <c r="D348" s="46">
        <f>D347</f>
        <v>4</v>
      </c>
      <c r="E348" s="45">
        <v>1.0999999999999999E-2</v>
      </c>
      <c r="F348" s="55">
        <f>D348*E348</f>
        <v>4.3999999999999997E-2</v>
      </c>
      <c r="G348" s="42" t="s">
        <v>53</v>
      </c>
      <c r="H348" s="41">
        <v>0</v>
      </c>
      <c r="I348" s="41">
        <v>0</v>
      </c>
      <c r="J348" s="41">
        <f t="shared" si="91"/>
        <v>0</v>
      </c>
      <c r="K348" s="41">
        <f t="shared" ref="K348" si="93">$D348*I348</f>
        <v>0</v>
      </c>
      <c r="L348" s="41">
        <f>J348+K348</f>
        <v>0</v>
      </c>
    </row>
    <row r="349" spans="1:244" ht="15" x14ac:dyDescent="0.25">
      <c r="A349" s="18"/>
      <c r="B349" s="101" t="s">
        <v>392</v>
      </c>
      <c r="C349" s="12"/>
      <c r="D349" s="24">
        <f>1</f>
        <v>1</v>
      </c>
      <c r="E349" s="12"/>
      <c r="F349" s="12"/>
      <c r="G349" s="12"/>
      <c r="H349" s="11">
        <v>0</v>
      </c>
      <c r="I349" s="11">
        <v>0</v>
      </c>
      <c r="J349" s="11">
        <f t="shared" si="91"/>
        <v>0</v>
      </c>
      <c r="K349" s="11"/>
      <c r="L349" s="11"/>
    </row>
    <row r="350" spans="1:244" s="43" customFormat="1" ht="28.5" x14ac:dyDescent="0.25">
      <c r="A350" s="54"/>
      <c r="B350" s="44" t="s">
        <v>426</v>
      </c>
      <c r="C350" s="42" t="s">
        <v>53</v>
      </c>
      <c r="D350" s="46">
        <f>D349*2</f>
        <v>2</v>
      </c>
      <c r="E350" s="45">
        <v>1.4999999999999999E-2</v>
      </c>
      <c r="F350" s="55">
        <f>D350*E350</f>
        <v>0.03</v>
      </c>
      <c r="G350" s="42" t="s">
        <v>53</v>
      </c>
      <c r="H350" s="41">
        <v>0</v>
      </c>
      <c r="I350" s="41">
        <v>0</v>
      </c>
      <c r="J350" s="41">
        <f t="shared" si="91"/>
        <v>0</v>
      </c>
      <c r="K350" s="41">
        <f t="shared" ref="K350" si="94">$D350*I350</f>
        <v>0</v>
      </c>
      <c r="L350" s="41">
        <f>J350+K350</f>
        <v>0</v>
      </c>
    </row>
    <row r="351" spans="1:244" s="81" customFormat="1" ht="13" x14ac:dyDescent="0.25">
      <c r="A351" s="18"/>
      <c r="B351" s="101" t="s">
        <v>253</v>
      </c>
      <c r="C351" s="12"/>
      <c r="D351" s="24">
        <f>8</f>
        <v>8</v>
      </c>
      <c r="E351" s="12"/>
      <c r="F351" s="12"/>
      <c r="G351" s="12"/>
      <c r="H351" s="11">
        <v>0</v>
      </c>
      <c r="I351" s="11">
        <v>0</v>
      </c>
      <c r="J351" s="11">
        <f t="shared" si="91"/>
        <v>0</v>
      </c>
      <c r="K351" s="11"/>
      <c r="L351" s="11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  <c r="CH351" s="3"/>
      <c r="CI351" s="3"/>
      <c r="CJ351" s="3"/>
      <c r="CK351" s="3"/>
      <c r="CL351" s="3"/>
      <c r="CM351" s="3"/>
      <c r="CN351" s="3"/>
      <c r="CO351" s="3"/>
      <c r="CP351" s="3"/>
      <c r="CQ351" s="3"/>
      <c r="CR351" s="3"/>
      <c r="CS351" s="3"/>
      <c r="CT351" s="3"/>
      <c r="CU351" s="3"/>
      <c r="CV351" s="3"/>
      <c r="CW351" s="3"/>
      <c r="CX351" s="3"/>
      <c r="CY351" s="3"/>
      <c r="CZ351" s="3"/>
      <c r="DA351" s="3"/>
      <c r="DB351" s="3"/>
      <c r="DC351" s="3"/>
      <c r="DD351" s="3"/>
      <c r="DE351" s="3"/>
      <c r="DF351" s="3"/>
      <c r="DG351" s="3"/>
      <c r="DH351" s="3"/>
      <c r="DI351" s="3"/>
      <c r="DJ351" s="3"/>
      <c r="DK351" s="3"/>
      <c r="DL351" s="3"/>
      <c r="DM351" s="3"/>
      <c r="DN351" s="3"/>
      <c r="DO351" s="3"/>
      <c r="DP351" s="3"/>
      <c r="DQ351" s="3"/>
      <c r="DR351" s="3"/>
      <c r="DS351" s="3"/>
      <c r="DT351" s="3"/>
      <c r="DU351" s="3"/>
      <c r="DV351" s="3"/>
      <c r="DW351" s="3"/>
      <c r="DX351" s="3"/>
      <c r="DY351" s="3"/>
      <c r="DZ351" s="3"/>
      <c r="EA351" s="3"/>
      <c r="EB351" s="3"/>
      <c r="EC351" s="3"/>
      <c r="ED351" s="3"/>
      <c r="EE351" s="3"/>
      <c r="EF351" s="3"/>
      <c r="EG351" s="3"/>
      <c r="EH351" s="3"/>
      <c r="EI351" s="3"/>
      <c r="EJ351" s="3"/>
      <c r="EK351" s="3"/>
      <c r="EL351" s="3"/>
      <c r="EM351" s="3"/>
      <c r="EN351" s="3"/>
      <c r="EO351" s="3"/>
      <c r="EP351" s="3"/>
      <c r="EQ351" s="3"/>
      <c r="ER351" s="3"/>
      <c r="ES351" s="3"/>
      <c r="ET351" s="3"/>
      <c r="EU351" s="3"/>
      <c r="EV351" s="3"/>
      <c r="EW351" s="3"/>
      <c r="EX351" s="3"/>
      <c r="EY351" s="3"/>
      <c r="EZ351" s="3"/>
      <c r="FA351" s="3"/>
      <c r="FB351" s="3"/>
      <c r="FC351" s="3"/>
      <c r="FD351" s="3"/>
      <c r="FE351" s="3"/>
      <c r="FF351" s="3"/>
      <c r="FG351" s="3"/>
      <c r="FH351" s="3"/>
      <c r="FI351" s="3"/>
      <c r="FJ351" s="3"/>
      <c r="FK351" s="3"/>
      <c r="FL351" s="3"/>
      <c r="FM351" s="3"/>
      <c r="FN351" s="3"/>
      <c r="FO351" s="3"/>
      <c r="FP351" s="3"/>
      <c r="FQ351" s="3"/>
      <c r="FR351" s="3"/>
      <c r="FS351" s="3"/>
      <c r="FT351" s="3"/>
      <c r="FU351" s="3"/>
      <c r="FV351" s="3"/>
      <c r="FW351" s="3"/>
      <c r="FX351" s="3"/>
      <c r="FY351" s="3"/>
      <c r="FZ351" s="3"/>
      <c r="GA351" s="3"/>
      <c r="GB351" s="3"/>
      <c r="GC351" s="3"/>
      <c r="GD351" s="3"/>
      <c r="GE351" s="3"/>
      <c r="GF351" s="3"/>
      <c r="GG351" s="3"/>
      <c r="GH351" s="3"/>
      <c r="GI351" s="3"/>
      <c r="GJ351" s="3"/>
      <c r="GK351" s="3"/>
      <c r="GL351" s="3"/>
      <c r="GM351" s="3"/>
      <c r="GN351" s="3"/>
      <c r="GO351" s="3"/>
      <c r="GP351" s="3"/>
      <c r="GQ351" s="3"/>
      <c r="GR351" s="3"/>
      <c r="GS351" s="3"/>
      <c r="GT351" s="3"/>
      <c r="GU351" s="3"/>
      <c r="GV351" s="3"/>
      <c r="GW351" s="3"/>
      <c r="GX351" s="3"/>
      <c r="GY351" s="3"/>
      <c r="GZ351" s="3"/>
      <c r="HA351" s="3"/>
      <c r="HB351" s="3"/>
      <c r="HC351" s="3"/>
      <c r="HD351" s="3"/>
      <c r="HE351" s="3"/>
      <c r="HF351" s="3"/>
      <c r="HG351" s="3"/>
      <c r="HH351" s="3"/>
      <c r="HI351" s="3"/>
      <c r="HJ351" s="3"/>
      <c r="HK351" s="3"/>
      <c r="HL351" s="3"/>
      <c r="HM351" s="3"/>
      <c r="HN351" s="3"/>
      <c r="HO351" s="3"/>
      <c r="HP351" s="3"/>
      <c r="HQ351" s="3"/>
      <c r="HR351" s="3"/>
      <c r="HS351" s="3"/>
      <c r="HT351" s="3"/>
      <c r="HU351" s="3"/>
      <c r="HV351" s="3"/>
      <c r="HW351" s="3"/>
      <c r="HX351" s="3"/>
      <c r="HY351" s="3"/>
      <c r="HZ351" s="3"/>
      <c r="IA351" s="3"/>
      <c r="IB351" s="3"/>
      <c r="IC351" s="3"/>
      <c r="ID351" s="3"/>
      <c r="IE351" s="3"/>
      <c r="IF351" s="3"/>
      <c r="IG351" s="3"/>
      <c r="IH351" s="3"/>
      <c r="II351" s="3"/>
      <c r="IJ351" s="3"/>
    </row>
    <row r="352" spans="1:244" s="43" customFormat="1" ht="25.5" x14ac:dyDescent="0.25">
      <c r="A352" s="54"/>
      <c r="B352" s="44" t="s">
        <v>427</v>
      </c>
      <c r="C352" s="42" t="s">
        <v>53</v>
      </c>
      <c r="D352" s="46">
        <f>D351*2</f>
        <v>16</v>
      </c>
      <c r="E352" s="45">
        <v>2.7E-2</v>
      </c>
      <c r="F352" s="55">
        <f t="shared" ref="F352" si="95">D352*E352</f>
        <v>0.432</v>
      </c>
      <c r="G352" s="42" t="s">
        <v>53</v>
      </c>
      <c r="H352" s="41">
        <v>0</v>
      </c>
      <c r="I352" s="41">
        <v>0</v>
      </c>
      <c r="J352" s="41">
        <f t="shared" ref="J352:K353" si="96">$D352*H352</f>
        <v>0</v>
      </c>
      <c r="K352" s="41">
        <f t="shared" si="96"/>
        <v>0</v>
      </c>
      <c r="L352" s="41">
        <f t="shared" ref="L352" si="97">J352+K352</f>
        <v>0</v>
      </c>
    </row>
    <row r="353" spans="1:244" ht="15" x14ac:dyDescent="0.25">
      <c r="A353" s="18"/>
      <c r="B353" s="101" t="s">
        <v>254</v>
      </c>
      <c r="C353" s="12"/>
      <c r="D353" s="24">
        <f>9</f>
        <v>9</v>
      </c>
      <c r="E353" s="12"/>
      <c r="F353" s="12"/>
      <c r="G353" s="12"/>
      <c r="H353" s="11">
        <v>0</v>
      </c>
      <c r="I353" s="11">
        <v>0</v>
      </c>
      <c r="J353" s="11">
        <f t="shared" si="96"/>
        <v>0</v>
      </c>
      <c r="K353" s="11"/>
      <c r="L353" s="11"/>
    </row>
    <row r="354" spans="1:244" s="43" customFormat="1" ht="28.5" x14ac:dyDescent="0.25">
      <c r="A354" s="54"/>
      <c r="B354" s="44" t="s">
        <v>428</v>
      </c>
      <c r="C354" s="42" t="s">
        <v>53</v>
      </c>
      <c r="D354" s="46">
        <f>D353*2</f>
        <v>18</v>
      </c>
      <c r="E354" s="45">
        <v>0.04</v>
      </c>
      <c r="F354" s="55">
        <f t="shared" ref="F354" si="98">D354*E354</f>
        <v>0.72</v>
      </c>
      <c r="G354" s="42" t="s">
        <v>53</v>
      </c>
      <c r="H354" s="41">
        <v>0</v>
      </c>
      <c r="I354" s="41">
        <v>0</v>
      </c>
      <c r="J354" s="41">
        <f t="shared" ref="J354:K355" si="99">$D354*H354</f>
        <v>0</v>
      </c>
      <c r="K354" s="41">
        <f t="shared" si="99"/>
        <v>0</v>
      </c>
      <c r="L354" s="41">
        <f t="shared" ref="L354" si="100">J354+K354</f>
        <v>0</v>
      </c>
    </row>
    <row r="355" spans="1:244" s="81" customFormat="1" ht="15" x14ac:dyDescent="0.25">
      <c r="A355" s="18"/>
      <c r="B355" s="101" t="s">
        <v>255</v>
      </c>
      <c r="C355" s="12"/>
      <c r="D355" s="24">
        <f>2</f>
        <v>2</v>
      </c>
      <c r="E355" s="12"/>
      <c r="F355" s="12"/>
      <c r="G355" s="12"/>
      <c r="H355" s="11">
        <v>0</v>
      </c>
      <c r="I355" s="11">
        <v>0</v>
      </c>
      <c r="J355" s="11">
        <f t="shared" si="99"/>
        <v>0</v>
      </c>
      <c r="K355" s="11"/>
      <c r="L355" s="11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  <c r="CB355" s="3"/>
      <c r="CC355" s="3"/>
      <c r="CD355" s="3"/>
      <c r="CE355" s="3"/>
      <c r="CF355" s="3"/>
      <c r="CG355" s="3"/>
      <c r="CH355" s="3"/>
      <c r="CI355" s="3"/>
      <c r="CJ355" s="3"/>
      <c r="CK355" s="3"/>
      <c r="CL355" s="3"/>
      <c r="CM355" s="3"/>
      <c r="CN355" s="3"/>
      <c r="CO355" s="3"/>
      <c r="CP355" s="3"/>
      <c r="CQ355" s="3"/>
      <c r="CR355" s="3"/>
      <c r="CS355" s="3"/>
      <c r="CT355" s="3"/>
      <c r="CU355" s="3"/>
      <c r="CV355" s="3"/>
      <c r="CW355" s="3"/>
      <c r="CX355" s="3"/>
      <c r="CY355" s="3"/>
      <c r="CZ355" s="3"/>
      <c r="DA355" s="3"/>
      <c r="DB355" s="3"/>
      <c r="DC355" s="3"/>
      <c r="DD355" s="3"/>
      <c r="DE355" s="3"/>
      <c r="DF355" s="3"/>
      <c r="DG355" s="3"/>
      <c r="DH355" s="3"/>
      <c r="DI355" s="3"/>
      <c r="DJ355" s="3"/>
      <c r="DK355" s="3"/>
      <c r="DL355" s="3"/>
      <c r="DM355" s="3"/>
      <c r="DN355" s="3"/>
      <c r="DO355" s="3"/>
      <c r="DP355" s="3"/>
      <c r="DQ355" s="3"/>
      <c r="DR355" s="3"/>
      <c r="DS355" s="3"/>
      <c r="DT355" s="3"/>
      <c r="DU355" s="3"/>
      <c r="DV355" s="3"/>
      <c r="DW355" s="3"/>
      <c r="DX355" s="3"/>
      <c r="DY355" s="3"/>
      <c r="DZ355" s="3"/>
      <c r="EA355" s="3"/>
      <c r="EB355" s="3"/>
      <c r="EC355" s="3"/>
      <c r="ED355" s="3"/>
      <c r="EE355" s="3"/>
      <c r="EF355" s="3"/>
      <c r="EG355" s="3"/>
      <c r="EH355" s="3"/>
      <c r="EI355" s="3"/>
      <c r="EJ355" s="3"/>
      <c r="EK355" s="3"/>
      <c r="EL355" s="3"/>
      <c r="EM355" s="3"/>
      <c r="EN355" s="3"/>
      <c r="EO355" s="3"/>
      <c r="EP355" s="3"/>
      <c r="EQ355" s="3"/>
      <c r="ER355" s="3"/>
      <c r="ES355" s="3"/>
      <c r="ET355" s="3"/>
      <c r="EU355" s="3"/>
      <c r="EV355" s="3"/>
      <c r="EW355" s="3"/>
      <c r="EX355" s="3"/>
      <c r="EY355" s="3"/>
      <c r="EZ355" s="3"/>
      <c r="FA355" s="3"/>
      <c r="FB355" s="3"/>
      <c r="FC355" s="3"/>
      <c r="FD355" s="3"/>
      <c r="FE355" s="3"/>
      <c r="FF355" s="3"/>
      <c r="FG355" s="3"/>
      <c r="FH355" s="3"/>
      <c r="FI355" s="3"/>
      <c r="FJ355" s="3"/>
      <c r="FK355" s="3"/>
      <c r="FL355" s="3"/>
      <c r="FM355" s="3"/>
      <c r="FN355" s="3"/>
      <c r="FO355" s="3"/>
      <c r="FP355" s="3"/>
      <c r="FQ355" s="3"/>
      <c r="FR355" s="3"/>
      <c r="FS355" s="3"/>
      <c r="FT355" s="3"/>
      <c r="FU355" s="3"/>
      <c r="FV355" s="3"/>
      <c r="FW355" s="3"/>
      <c r="FX355" s="3"/>
      <c r="FY355" s="3"/>
      <c r="FZ355" s="3"/>
      <c r="GA355" s="3"/>
      <c r="GB355" s="3"/>
      <c r="GC355" s="3"/>
      <c r="GD355" s="3"/>
      <c r="GE355" s="3"/>
      <c r="GF355" s="3"/>
      <c r="GG355" s="3"/>
      <c r="GH355" s="3"/>
      <c r="GI355" s="3"/>
      <c r="GJ355" s="3"/>
      <c r="GK355" s="3"/>
      <c r="GL355" s="3"/>
      <c r="GM355" s="3"/>
      <c r="GN355" s="3"/>
      <c r="GO355" s="3"/>
      <c r="GP355" s="3"/>
      <c r="GQ355" s="3"/>
      <c r="GR355" s="3"/>
      <c r="GS355" s="3"/>
      <c r="GT355" s="3"/>
      <c r="GU355" s="3"/>
      <c r="GV355" s="3"/>
      <c r="GW355" s="3"/>
      <c r="GX355" s="3"/>
      <c r="GY355" s="3"/>
      <c r="GZ355" s="3"/>
      <c r="HA355" s="3"/>
      <c r="HB355" s="3"/>
      <c r="HC355" s="3"/>
      <c r="HD355" s="3"/>
      <c r="HE355" s="3"/>
      <c r="HF355" s="3"/>
      <c r="HG355" s="3"/>
      <c r="HH355" s="3"/>
      <c r="HI355" s="3"/>
      <c r="HJ355" s="3"/>
      <c r="HK355" s="3"/>
      <c r="HL355" s="3"/>
      <c r="HM355" s="3"/>
      <c r="HN355" s="3"/>
      <c r="HO355" s="3"/>
      <c r="HP355" s="3"/>
      <c r="HQ355" s="3"/>
      <c r="HR355" s="3"/>
      <c r="HS355" s="3"/>
      <c r="HT355" s="3"/>
      <c r="HU355" s="3"/>
      <c r="HV355" s="3"/>
      <c r="HW355" s="3"/>
      <c r="HX355" s="3"/>
      <c r="HY355" s="3"/>
      <c r="HZ355" s="3"/>
      <c r="IA355" s="3"/>
      <c r="IB355" s="3"/>
      <c r="IC355" s="3"/>
      <c r="ID355" s="3"/>
      <c r="IE355" s="3"/>
      <c r="IF355" s="3"/>
      <c r="IG355" s="3"/>
      <c r="IH355" s="3"/>
      <c r="II355" s="3"/>
      <c r="IJ355" s="3"/>
    </row>
    <row r="356" spans="1:244" s="43" customFormat="1" ht="28.5" x14ac:dyDescent="0.25">
      <c r="A356" s="54"/>
      <c r="B356" s="44" t="s">
        <v>429</v>
      </c>
      <c r="C356" s="42" t="s">
        <v>53</v>
      </c>
      <c r="D356" s="46">
        <f>D355*2</f>
        <v>4</v>
      </c>
      <c r="E356" s="45">
        <v>6.0999999999999999E-2</v>
      </c>
      <c r="F356" s="55">
        <f t="shared" ref="F356" si="101">D356*E356</f>
        <v>0.24399999999999999</v>
      </c>
      <c r="G356" s="42" t="s">
        <v>53</v>
      </c>
      <c r="H356" s="41">
        <v>0</v>
      </c>
      <c r="I356" s="41">
        <v>0</v>
      </c>
      <c r="J356" s="41">
        <f t="shared" ref="J356:K356" si="102">$D356*H356</f>
        <v>0</v>
      </c>
      <c r="K356" s="41">
        <f t="shared" si="102"/>
        <v>0</v>
      </c>
      <c r="L356" s="41">
        <f t="shared" ref="L356" si="103">J356+K356</f>
        <v>0</v>
      </c>
    </row>
    <row r="357" spans="1:244" s="81" customFormat="1" ht="13" x14ac:dyDescent="0.25">
      <c r="A357" s="18"/>
      <c r="B357" s="101" t="s">
        <v>332</v>
      </c>
      <c r="C357" s="12"/>
      <c r="D357" s="24">
        <f>2</f>
        <v>2</v>
      </c>
      <c r="E357" s="12"/>
      <c r="F357" s="12"/>
      <c r="G357" s="12"/>
      <c r="H357" s="11">
        <v>0</v>
      </c>
      <c r="I357" s="11">
        <v>0</v>
      </c>
      <c r="J357" s="11"/>
      <c r="K357" s="11"/>
      <c r="L357" s="11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  <c r="CB357" s="3"/>
      <c r="CC357" s="3"/>
      <c r="CD357" s="3"/>
      <c r="CE357" s="3"/>
      <c r="CF357" s="3"/>
      <c r="CG357" s="3"/>
      <c r="CH357" s="3"/>
      <c r="CI357" s="3"/>
      <c r="CJ357" s="3"/>
      <c r="CK357" s="3"/>
      <c r="CL357" s="3"/>
      <c r="CM357" s="3"/>
      <c r="CN357" s="3"/>
      <c r="CO357" s="3"/>
      <c r="CP357" s="3"/>
      <c r="CQ357" s="3"/>
      <c r="CR357" s="3"/>
      <c r="CS357" s="3"/>
      <c r="CT357" s="3"/>
      <c r="CU357" s="3"/>
      <c r="CV357" s="3"/>
      <c r="CW357" s="3"/>
      <c r="CX357" s="3"/>
      <c r="CY357" s="3"/>
      <c r="CZ357" s="3"/>
      <c r="DA357" s="3"/>
      <c r="DB357" s="3"/>
      <c r="DC357" s="3"/>
      <c r="DD357" s="3"/>
      <c r="DE357" s="3"/>
      <c r="DF357" s="3"/>
      <c r="DG357" s="3"/>
      <c r="DH357" s="3"/>
      <c r="DI357" s="3"/>
      <c r="DJ357" s="3"/>
      <c r="DK357" s="3"/>
      <c r="DL357" s="3"/>
      <c r="DM357" s="3"/>
      <c r="DN357" s="3"/>
      <c r="DO357" s="3"/>
      <c r="DP357" s="3"/>
      <c r="DQ357" s="3"/>
      <c r="DR357" s="3"/>
      <c r="DS357" s="3"/>
      <c r="DT357" s="3"/>
      <c r="DU357" s="3"/>
      <c r="DV357" s="3"/>
      <c r="DW357" s="3"/>
      <c r="DX357" s="3"/>
      <c r="DY357" s="3"/>
      <c r="DZ357" s="3"/>
      <c r="EA357" s="3"/>
      <c r="EB357" s="3"/>
      <c r="EC357" s="3"/>
      <c r="ED357" s="3"/>
      <c r="EE357" s="3"/>
      <c r="EF357" s="3"/>
      <c r="EG357" s="3"/>
      <c r="EH357" s="3"/>
      <c r="EI357" s="3"/>
      <c r="EJ357" s="3"/>
      <c r="EK357" s="3"/>
      <c r="EL357" s="3"/>
      <c r="EM357" s="3"/>
      <c r="EN357" s="3"/>
      <c r="EO357" s="3"/>
      <c r="EP357" s="3"/>
      <c r="EQ357" s="3"/>
      <c r="ER357" s="3"/>
      <c r="ES357" s="3"/>
      <c r="ET357" s="3"/>
      <c r="EU357" s="3"/>
      <c r="EV357" s="3"/>
      <c r="EW357" s="3"/>
      <c r="EX357" s="3"/>
      <c r="EY357" s="3"/>
      <c r="EZ357" s="3"/>
      <c r="FA357" s="3"/>
      <c r="FB357" s="3"/>
      <c r="FC357" s="3"/>
      <c r="FD357" s="3"/>
      <c r="FE357" s="3"/>
      <c r="FF357" s="3"/>
      <c r="FG357" s="3"/>
      <c r="FH357" s="3"/>
      <c r="FI357" s="3"/>
      <c r="FJ357" s="3"/>
      <c r="FK357" s="3"/>
      <c r="FL357" s="3"/>
      <c r="FM357" s="3"/>
      <c r="FN357" s="3"/>
      <c r="FO357" s="3"/>
      <c r="FP357" s="3"/>
      <c r="FQ357" s="3"/>
      <c r="FR357" s="3"/>
      <c r="FS357" s="3"/>
      <c r="FT357" s="3"/>
      <c r="FU357" s="3"/>
      <c r="FV357" s="3"/>
      <c r="FW357" s="3"/>
      <c r="FX357" s="3"/>
      <c r="FY357" s="3"/>
      <c r="FZ357" s="3"/>
      <c r="GA357" s="3"/>
      <c r="GB357" s="3"/>
      <c r="GC357" s="3"/>
      <c r="GD357" s="3"/>
      <c r="GE357" s="3"/>
      <c r="GF357" s="3"/>
      <c r="GG357" s="3"/>
      <c r="GH357" s="3"/>
      <c r="GI357" s="3"/>
      <c r="GJ357" s="3"/>
      <c r="GK357" s="3"/>
      <c r="GL357" s="3"/>
      <c r="GM357" s="3"/>
      <c r="GN357" s="3"/>
      <c r="GO357" s="3"/>
      <c r="GP357" s="3"/>
      <c r="GQ357" s="3"/>
      <c r="GR357" s="3"/>
      <c r="GS357" s="3"/>
      <c r="GT357" s="3"/>
      <c r="GU357" s="3"/>
      <c r="GV357" s="3"/>
      <c r="GW357" s="3"/>
      <c r="GX357" s="3"/>
      <c r="GY357" s="3"/>
      <c r="GZ357" s="3"/>
      <c r="HA357" s="3"/>
      <c r="HB357" s="3"/>
      <c r="HC357" s="3"/>
      <c r="HD357" s="3"/>
      <c r="HE357" s="3"/>
      <c r="HF357" s="3"/>
      <c r="HG357" s="3"/>
      <c r="HH357" s="3"/>
      <c r="HI357" s="3"/>
      <c r="HJ357" s="3"/>
      <c r="HK357" s="3"/>
      <c r="HL357" s="3"/>
      <c r="HM357" s="3"/>
      <c r="HN357" s="3"/>
      <c r="HO357" s="3"/>
      <c r="HP357" s="3"/>
      <c r="HQ357" s="3"/>
      <c r="HR357" s="3"/>
      <c r="HS357" s="3"/>
      <c r="HT357" s="3"/>
      <c r="HU357" s="3"/>
      <c r="HV357" s="3"/>
      <c r="HW357" s="3"/>
      <c r="HX357" s="3"/>
      <c r="HY357" s="3"/>
      <c r="HZ357" s="3"/>
      <c r="IA357" s="3"/>
      <c r="IB357" s="3"/>
      <c r="IC357" s="3"/>
      <c r="ID357" s="3"/>
      <c r="IE357" s="3"/>
      <c r="IF357" s="3"/>
      <c r="IG357" s="3"/>
      <c r="IH357" s="3"/>
      <c r="II357" s="3"/>
      <c r="IJ357" s="3"/>
    </row>
    <row r="358" spans="1:244" s="43" customFormat="1" ht="25.5" x14ac:dyDescent="0.25">
      <c r="A358" s="54"/>
      <c r="B358" s="44" t="s">
        <v>430</v>
      </c>
      <c r="C358" s="42" t="s">
        <v>53</v>
      </c>
      <c r="D358" s="46">
        <f>D357*2</f>
        <v>4</v>
      </c>
      <c r="E358" s="45">
        <f>0.1</f>
        <v>0.1</v>
      </c>
      <c r="F358" s="55">
        <f t="shared" ref="F358" si="104">D358*E358</f>
        <v>0.4</v>
      </c>
      <c r="G358" s="42" t="s">
        <v>53</v>
      </c>
      <c r="H358" s="41">
        <v>0</v>
      </c>
      <c r="I358" s="41">
        <v>0</v>
      </c>
      <c r="J358" s="41">
        <f t="shared" ref="J358:K358" si="105">$D358*H358</f>
        <v>0</v>
      </c>
      <c r="K358" s="41">
        <f t="shared" si="105"/>
        <v>0</v>
      </c>
      <c r="L358" s="41">
        <f t="shared" ref="L358" si="106">J358+K358</f>
        <v>0</v>
      </c>
    </row>
    <row r="359" spans="1:244" s="81" customFormat="1" ht="15" x14ac:dyDescent="0.25">
      <c r="A359" s="18"/>
      <c r="B359" s="101" t="s">
        <v>405</v>
      </c>
      <c r="C359" s="12"/>
      <c r="D359" s="24">
        <v>1</v>
      </c>
      <c r="E359" s="12"/>
      <c r="F359" s="12"/>
      <c r="G359" s="12"/>
      <c r="H359" s="11">
        <v>0</v>
      </c>
      <c r="I359" s="11">
        <v>0</v>
      </c>
      <c r="J359" s="11"/>
      <c r="K359" s="11"/>
      <c r="L359" s="11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  <c r="CB359" s="3"/>
      <c r="CC359" s="3"/>
      <c r="CD359" s="3"/>
      <c r="CE359" s="3"/>
      <c r="CF359" s="3"/>
      <c r="CG359" s="3"/>
      <c r="CH359" s="3"/>
      <c r="CI359" s="3"/>
      <c r="CJ359" s="3"/>
      <c r="CK359" s="3"/>
      <c r="CL359" s="3"/>
      <c r="CM359" s="3"/>
      <c r="CN359" s="3"/>
      <c r="CO359" s="3"/>
      <c r="CP359" s="3"/>
      <c r="CQ359" s="3"/>
      <c r="CR359" s="3"/>
      <c r="CS359" s="3"/>
      <c r="CT359" s="3"/>
      <c r="CU359" s="3"/>
      <c r="CV359" s="3"/>
      <c r="CW359" s="3"/>
      <c r="CX359" s="3"/>
      <c r="CY359" s="3"/>
      <c r="CZ359" s="3"/>
      <c r="DA359" s="3"/>
      <c r="DB359" s="3"/>
      <c r="DC359" s="3"/>
      <c r="DD359" s="3"/>
      <c r="DE359" s="3"/>
      <c r="DF359" s="3"/>
      <c r="DG359" s="3"/>
      <c r="DH359" s="3"/>
      <c r="DI359" s="3"/>
      <c r="DJ359" s="3"/>
      <c r="DK359" s="3"/>
      <c r="DL359" s="3"/>
      <c r="DM359" s="3"/>
      <c r="DN359" s="3"/>
      <c r="DO359" s="3"/>
      <c r="DP359" s="3"/>
      <c r="DQ359" s="3"/>
      <c r="DR359" s="3"/>
      <c r="DS359" s="3"/>
      <c r="DT359" s="3"/>
      <c r="DU359" s="3"/>
      <c r="DV359" s="3"/>
      <c r="DW359" s="3"/>
      <c r="DX359" s="3"/>
      <c r="DY359" s="3"/>
      <c r="DZ359" s="3"/>
      <c r="EA359" s="3"/>
      <c r="EB359" s="3"/>
      <c r="EC359" s="3"/>
      <c r="ED359" s="3"/>
      <c r="EE359" s="3"/>
      <c r="EF359" s="3"/>
      <c r="EG359" s="3"/>
      <c r="EH359" s="3"/>
      <c r="EI359" s="3"/>
      <c r="EJ359" s="3"/>
      <c r="EK359" s="3"/>
      <c r="EL359" s="3"/>
      <c r="EM359" s="3"/>
      <c r="EN359" s="3"/>
      <c r="EO359" s="3"/>
      <c r="EP359" s="3"/>
      <c r="EQ359" s="3"/>
      <c r="ER359" s="3"/>
      <c r="ES359" s="3"/>
      <c r="ET359" s="3"/>
      <c r="EU359" s="3"/>
      <c r="EV359" s="3"/>
      <c r="EW359" s="3"/>
      <c r="EX359" s="3"/>
      <c r="EY359" s="3"/>
      <c r="EZ359" s="3"/>
      <c r="FA359" s="3"/>
      <c r="FB359" s="3"/>
      <c r="FC359" s="3"/>
      <c r="FD359" s="3"/>
      <c r="FE359" s="3"/>
      <c r="FF359" s="3"/>
      <c r="FG359" s="3"/>
      <c r="FH359" s="3"/>
      <c r="FI359" s="3"/>
      <c r="FJ359" s="3"/>
      <c r="FK359" s="3"/>
      <c r="FL359" s="3"/>
      <c r="FM359" s="3"/>
      <c r="FN359" s="3"/>
      <c r="FO359" s="3"/>
      <c r="FP359" s="3"/>
      <c r="FQ359" s="3"/>
      <c r="FR359" s="3"/>
      <c r="FS359" s="3"/>
      <c r="FT359" s="3"/>
      <c r="FU359" s="3"/>
      <c r="FV359" s="3"/>
      <c r="FW359" s="3"/>
      <c r="FX359" s="3"/>
      <c r="FY359" s="3"/>
      <c r="FZ359" s="3"/>
      <c r="GA359" s="3"/>
      <c r="GB359" s="3"/>
      <c r="GC359" s="3"/>
      <c r="GD359" s="3"/>
      <c r="GE359" s="3"/>
      <c r="GF359" s="3"/>
      <c r="GG359" s="3"/>
      <c r="GH359" s="3"/>
      <c r="GI359" s="3"/>
      <c r="GJ359" s="3"/>
      <c r="GK359" s="3"/>
      <c r="GL359" s="3"/>
      <c r="GM359" s="3"/>
      <c r="GN359" s="3"/>
      <c r="GO359" s="3"/>
      <c r="GP359" s="3"/>
      <c r="GQ359" s="3"/>
      <c r="GR359" s="3"/>
      <c r="GS359" s="3"/>
      <c r="GT359" s="3"/>
      <c r="GU359" s="3"/>
      <c r="GV359" s="3"/>
      <c r="GW359" s="3"/>
      <c r="GX359" s="3"/>
      <c r="GY359" s="3"/>
      <c r="GZ359" s="3"/>
      <c r="HA359" s="3"/>
      <c r="HB359" s="3"/>
      <c r="HC359" s="3"/>
      <c r="HD359" s="3"/>
      <c r="HE359" s="3"/>
      <c r="HF359" s="3"/>
      <c r="HG359" s="3"/>
      <c r="HH359" s="3"/>
      <c r="HI359" s="3"/>
      <c r="HJ359" s="3"/>
      <c r="HK359" s="3"/>
      <c r="HL359" s="3"/>
      <c r="HM359" s="3"/>
      <c r="HN359" s="3"/>
      <c r="HO359" s="3"/>
      <c r="HP359" s="3"/>
      <c r="HQ359" s="3"/>
      <c r="HR359" s="3"/>
      <c r="HS359" s="3"/>
      <c r="HT359" s="3"/>
      <c r="HU359" s="3"/>
      <c r="HV359" s="3"/>
      <c r="HW359" s="3"/>
      <c r="HX359" s="3"/>
      <c r="HY359" s="3"/>
      <c r="HZ359" s="3"/>
      <c r="IA359" s="3"/>
      <c r="IB359" s="3"/>
      <c r="IC359" s="3"/>
      <c r="ID359" s="3"/>
      <c r="IE359" s="3"/>
      <c r="IF359" s="3"/>
      <c r="IG359" s="3"/>
      <c r="IH359" s="3"/>
      <c r="II359" s="3"/>
      <c r="IJ359" s="3"/>
    </row>
    <row r="360" spans="1:244" s="81" customFormat="1" ht="28.5" x14ac:dyDescent="0.25">
      <c r="A360" s="54"/>
      <c r="B360" s="44" t="s">
        <v>425</v>
      </c>
      <c r="C360" s="42" t="s">
        <v>53</v>
      </c>
      <c r="D360" s="46">
        <f>D359</f>
        <v>1</v>
      </c>
      <c r="E360" s="45">
        <v>1.0999999999999999E-2</v>
      </c>
      <c r="F360" s="55">
        <f>D360*E360</f>
        <v>1.0999999999999999E-2</v>
      </c>
      <c r="G360" s="42" t="s">
        <v>53</v>
      </c>
      <c r="H360" s="41">
        <v>0</v>
      </c>
      <c r="I360" s="41">
        <v>0</v>
      </c>
      <c r="J360" s="41">
        <f>$D360*H360</f>
        <v>0</v>
      </c>
      <c r="K360" s="41">
        <f t="shared" ref="K360:K361" si="107">$D360*I360</f>
        <v>0</v>
      </c>
      <c r="L360" s="41">
        <f>J360+K360</f>
        <v>0</v>
      </c>
    </row>
    <row r="361" spans="1:244" s="43" customFormat="1" ht="28.5" x14ac:dyDescent="0.25">
      <c r="A361" s="54"/>
      <c r="B361" s="44" t="s">
        <v>426</v>
      </c>
      <c r="C361" s="42" t="s">
        <v>53</v>
      </c>
      <c r="D361" s="46">
        <f>D359</f>
        <v>1</v>
      </c>
      <c r="E361" s="45">
        <v>1.4999999999999999E-2</v>
      </c>
      <c r="F361" s="55">
        <f>D361*E361</f>
        <v>1.4999999999999999E-2</v>
      </c>
      <c r="G361" s="42" t="s">
        <v>53</v>
      </c>
      <c r="H361" s="41">
        <v>0</v>
      </c>
      <c r="I361" s="41">
        <v>0</v>
      </c>
      <c r="J361" s="41">
        <f>$D361*H361</f>
        <v>0</v>
      </c>
      <c r="K361" s="41">
        <f t="shared" si="107"/>
        <v>0</v>
      </c>
      <c r="L361" s="41">
        <f>J361+K361</f>
        <v>0</v>
      </c>
    </row>
    <row r="362" spans="1:244" s="81" customFormat="1" ht="15" x14ac:dyDescent="0.25">
      <c r="A362" s="18"/>
      <c r="B362" s="101" t="s">
        <v>406</v>
      </c>
      <c r="C362" s="12"/>
      <c r="D362" s="24">
        <v>1</v>
      </c>
      <c r="E362" s="12"/>
      <c r="F362" s="12"/>
      <c r="G362" s="12"/>
      <c r="H362" s="11">
        <v>0</v>
      </c>
      <c r="I362" s="11">
        <v>0</v>
      </c>
      <c r="J362" s="11"/>
      <c r="K362" s="11"/>
      <c r="L362" s="11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  <c r="CG362" s="3"/>
      <c r="CH362" s="3"/>
      <c r="CI362" s="3"/>
      <c r="CJ362" s="3"/>
      <c r="CK362" s="3"/>
      <c r="CL362" s="3"/>
      <c r="CM362" s="3"/>
      <c r="CN362" s="3"/>
      <c r="CO362" s="3"/>
      <c r="CP362" s="3"/>
      <c r="CQ362" s="3"/>
      <c r="CR362" s="3"/>
      <c r="CS362" s="3"/>
      <c r="CT362" s="3"/>
      <c r="CU362" s="3"/>
      <c r="CV362" s="3"/>
      <c r="CW362" s="3"/>
      <c r="CX362" s="3"/>
      <c r="CY362" s="3"/>
      <c r="CZ362" s="3"/>
      <c r="DA362" s="3"/>
      <c r="DB362" s="3"/>
      <c r="DC362" s="3"/>
      <c r="DD362" s="3"/>
      <c r="DE362" s="3"/>
      <c r="DF362" s="3"/>
      <c r="DG362" s="3"/>
      <c r="DH362" s="3"/>
      <c r="DI362" s="3"/>
      <c r="DJ362" s="3"/>
      <c r="DK362" s="3"/>
      <c r="DL362" s="3"/>
      <c r="DM362" s="3"/>
      <c r="DN362" s="3"/>
      <c r="DO362" s="3"/>
      <c r="DP362" s="3"/>
      <c r="DQ362" s="3"/>
      <c r="DR362" s="3"/>
      <c r="DS362" s="3"/>
      <c r="DT362" s="3"/>
      <c r="DU362" s="3"/>
      <c r="DV362" s="3"/>
      <c r="DW362" s="3"/>
      <c r="DX362" s="3"/>
      <c r="DY362" s="3"/>
      <c r="DZ362" s="3"/>
      <c r="EA362" s="3"/>
      <c r="EB362" s="3"/>
      <c r="EC362" s="3"/>
      <c r="ED362" s="3"/>
      <c r="EE362" s="3"/>
      <c r="EF362" s="3"/>
      <c r="EG362" s="3"/>
      <c r="EH362" s="3"/>
      <c r="EI362" s="3"/>
      <c r="EJ362" s="3"/>
      <c r="EK362" s="3"/>
      <c r="EL362" s="3"/>
      <c r="EM362" s="3"/>
      <c r="EN362" s="3"/>
      <c r="EO362" s="3"/>
      <c r="EP362" s="3"/>
      <c r="EQ362" s="3"/>
      <c r="ER362" s="3"/>
      <c r="ES362" s="3"/>
      <c r="ET362" s="3"/>
      <c r="EU362" s="3"/>
      <c r="EV362" s="3"/>
      <c r="EW362" s="3"/>
      <c r="EX362" s="3"/>
      <c r="EY362" s="3"/>
      <c r="EZ362" s="3"/>
      <c r="FA362" s="3"/>
      <c r="FB362" s="3"/>
      <c r="FC362" s="3"/>
      <c r="FD362" s="3"/>
      <c r="FE362" s="3"/>
      <c r="FF362" s="3"/>
      <c r="FG362" s="3"/>
      <c r="FH362" s="3"/>
      <c r="FI362" s="3"/>
      <c r="FJ362" s="3"/>
      <c r="FK362" s="3"/>
      <c r="FL362" s="3"/>
      <c r="FM362" s="3"/>
      <c r="FN362" s="3"/>
      <c r="FO362" s="3"/>
      <c r="FP362" s="3"/>
      <c r="FQ362" s="3"/>
      <c r="FR362" s="3"/>
      <c r="FS362" s="3"/>
      <c r="FT362" s="3"/>
      <c r="FU362" s="3"/>
      <c r="FV362" s="3"/>
      <c r="FW362" s="3"/>
      <c r="FX362" s="3"/>
      <c r="FY362" s="3"/>
      <c r="FZ362" s="3"/>
      <c r="GA362" s="3"/>
      <c r="GB362" s="3"/>
      <c r="GC362" s="3"/>
      <c r="GD362" s="3"/>
      <c r="GE362" s="3"/>
      <c r="GF362" s="3"/>
      <c r="GG362" s="3"/>
      <c r="GH362" s="3"/>
      <c r="GI362" s="3"/>
      <c r="GJ362" s="3"/>
      <c r="GK362" s="3"/>
      <c r="GL362" s="3"/>
      <c r="GM362" s="3"/>
      <c r="GN362" s="3"/>
      <c r="GO362" s="3"/>
      <c r="GP362" s="3"/>
      <c r="GQ362" s="3"/>
      <c r="GR362" s="3"/>
      <c r="GS362" s="3"/>
      <c r="GT362" s="3"/>
      <c r="GU362" s="3"/>
      <c r="GV362" s="3"/>
      <c r="GW362" s="3"/>
      <c r="GX362" s="3"/>
      <c r="GY362" s="3"/>
      <c r="GZ362" s="3"/>
      <c r="HA362" s="3"/>
      <c r="HB362" s="3"/>
      <c r="HC362" s="3"/>
      <c r="HD362" s="3"/>
      <c r="HE362" s="3"/>
      <c r="HF362" s="3"/>
      <c r="HG362" s="3"/>
      <c r="HH362" s="3"/>
      <c r="HI362" s="3"/>
      <c r="HJ362" s="3"/>
      <c r="HK362" s="3"/>
      <c r="HL362" s="3"/>
      <c r="HM362" s="3"/>
      <c r="HN362" s="3"/>
      <c r="HO362" s="3"/>
      <c r="HP362" s="3"/>
      <c r="HQ362" s="3"/>
      <c r="HR362" s="3"/>
      <c r="HS362" s="3"/>
      <c r="HT362" s="3"/>
      <c r="HU362" s="3"/>
      <c r="HV362" s="3"/>
      <c r="HW362" s="3"/>
      <c r="HX362" s="3"/>
      <c r="HY362" s="3"/>
      <c r="HZ362" s="3"/>
      <c r="IA362" s="3"/>
      <c r="IB362" s="3"/>
      <c r="IC362" s="3"/>
      <c r="ID362" s="3"/>
      <c r="IE362" s="3"/>
      <c r="IF362" s="3"/>
      <c r="IG362" s="3"/>
      <c r="IH362" s="3"/>
      <c r="II362" s="3"/>
      <c r="IJ362" s="3"/>
    </row>
    <row r="363" spans="1:244" s="43" customFormat="1" ht="28.5" x14ac:dyDescent="0.25">
      <c r="A363" s="54"/>
      <c r="B363" s="44" t="s">
        <v>426</v>
      </c>
      <c r="C363" s="42" t="s">
        <v>53</v>
      </c>
      <c r="D363" s="46">
        <f>D362</f>
        <v>1</v>
      </c>
      <c r="E363" s="45">
        <v>2.7E-2</v>
      </c>
      <c r="F363" s="55">
        <f>D363*E363</f>
        <v>2.7E-2</v>
      </c>
      <c r="G363" s="42" t="s">
        <v>53</v>
      </c>
      <c r="H363" s="41">
        <v>0</v>
      </c>
      <c r="I363" s="41">
        <v>0</v>
      </c>
      <c r="J363" s="41">
        <f>$D363*H363</f>
        <v>0</v>
      </c>
      <c r="K363" s="41">
        <f t="shared" ref="K363:K364" si="108">$D363*I363</f>
        <v>0</v>
      </c>
      <c r="L363" s="41">
        <f>J363+K363</f>
        <v>0</v>
      </c>
      <c r="M363" s="81"/>
      <c r="N363" s="81"/>
      <c r="O363" s="81"/>
      <c r="P363" s="81"/>
      <c r="Q363" s="81"/>
      <c r="R363" s="81"/>
      <c r="S363" s="81"/>
      <c r="T363" s="81"/>
      <c r="U363" s="81"/>
      <c r="V363" s="81"/>
      <c r="W363" s="81"/>
      <c r="X363" s="81"/>
      <c r="Y363" s="81"/>
      <c r="Z363" s="81"/>
      <c r="AA363" s="81"/>
      <c r="AB363" s="81"/>
      <c r="AC363" s="81"/>
      <c r="AD363" s="81"/>
      <c r="AE363" s="81"/>
      <c r="AF363" s="81"/>
      <c r="AG363" s="81"/>
      <c r="AH363" s="81"/>
      <c r="AI363" s="81"/>
      <c r="AJ363" s="81"/>
      <c r="AK363" s="81"/>
      <c r="AL363" s="81"/>
      <c r="AM363" s="81"/>
      <c r="AN363" s="81"/>
      <c r="AO363" s="81"/>
      <c r="AP363" s="81"/>
      <c r="AQ363" s="81"/>
      <c r="AR363" s="81"/>
      <c r="AS363" s="81"/>
      <c r="AT363" s="81"/>
      <c r="AU363" s="81"/>
      <c r="AV363" s="81"/>
      <c r="AW363" s="81"/>
      <c r="AX363" s="81"/>
      <c r="AY363" s="81"/>
      <c r="AZ363" s="81"/>
      <c r="BA363" s="81"/>
      <c r="BB363" s="81"/>
      <c r="BC363" s="81"/>
      <c r="BD363" s="81"/>
      <c r="BE363" s="81"/>
      <c r="BF363" s="81"/>
      <c r="BG363" s="81"/>
      <c r="BH363" s="81"/>
      <c r="BI363" s="81"/>
      <c r="BJ363" s="81"/>
      <c r="BK363" s="81"/>
      <c r="BL363" s="81"/>
      <c r="BM363" s="81"/>
      <c r="BN363" s="81"/>
      <c r="BO363" s="81"/>
      <c r="BP363" s="81"/>
      <c r="BQ363" s="81"/>
      <c r="BR363" s="81"/>
      <c r="BS363" s="81"/>
      <c r="BT363" s="81"/>
      <c r="BU363" s="81"/>
      <c r="BV363" s="81"/>
      <c r="BW363" s="81"/>
      <c r="BX363" s="81"/>
      <c r="BY363" s="81"/>
      <c r="BZ363" s="81"/>
      <c r="CA363" s="81"/>
      <c r="CB363" s="81"/>
      <c r="CC363" s="81"/>
      <c r="CD363" s="81"/>
      <c r="CE363" s="81"/>
      <c r="CF363" s="81"/>
      <c r="CG363" s="81"/>
      <c r="CH363" s="81"/>
      <c r="CI363" s="81"/>
      <c r="CJ363" s="81"/>
      <c r="CK363" s="81"/>
      <c r="CL363" s="81"/>
      <c r="CM363" s="81"/>
      <c r="CN363" s="81"/>
      <c r="CO363" s="81"/>
      <c r="CP363" s="81"/>
      <c r="CQ363" s="81"/>
      <c r="CR363" s="81"/>
      <c r="CS363" s="81"/>
      <c r="CT363" s="81"/>
      <c r="CU363" s="81"/>
      <c r="CV363" s="81"/>
      <c r="CW363" s="81"/>
      <c r="CX363" s="81"/>
      <c r="CY363" s="81"/>
      <c r="CZ363" s="81"/>
      <c r="DA363" s="81"/>
      <c r="DB363" s="81"/>
      <c r="DC363" s="81"/>
      <c r="DD363" s="81"/>
      <c r="DE363" s="81"/>
      <c r="DF363" s="81"/>
      <c r="DG363" s="81"/>
      <c r="DH363" s="81"/>
      <c r="DI363" s="81"/>
      <c r="DJ363" s="81"/>
      <c r="DK363" s="81"/>
      <c r="DL363" s="81"/>
      <c r="DM363" s="81"/>
      <c r="DN363" s="81"/>
      <c r="DO363" s="81"/>
      <c r="DP363" s="81"/>
      <c r="DQ363" s="81"/>
      <c r="DR363" s="81"/>
      <c r="DS363" s="81"/>
      <c r="DT363" s="81"/>
      <c r="DU363" s="81"/>
      <c r="DV363" s="81"/>
      <c r="DW363" s="81"/>
      <c r="DX363" s="81"/>
      <c r="DY363" s="81"/>
      <c r="DZ363" s="81"/>
      <c r="EA363" s="81"/>
      <c r="EB363" s="81"/>
      <c r="EC363" s="81"/>
      <c r="ED363" s="81"/>
      <c r="EE363" s="81"/>
      <c r="EF363" s="81"/>
      <c r="EG363" s="81"/>
      <c r="EH363" s="81"/>
      <c r="EI363" s="81"/>
      <c r="EJ363" s="81"/>
      <c r="EK363" s="81"/>
      <c r="EL363" s="81"/>
      <c r="EM363" s="81"/>
      <c r="EN363" s="81"/>
      <c r="EO363" s="81"/>
      <c r="EP363" s="81"/>
      <c r="EQ363" s="81"/>
      <c r="ER363" s="81"/>
      <c r="ES363" s="81"/>
      <c r="ET363" s="81"/>
      <c r="EU363" s="81"/>
      <c r="EV363" s="81"/>
      <c r="EW363" s="81"/>
      <c r="EX363" s="81"/>
      <c r="EY363" s="81"/>
      <c r="EZ363" s="81"/>
      <c r="FA363" s="81"/>
      <c r="FB363" s="81"/>
      <c r="FC363" s="81"/>
      <c r="FD363" s="81"/>
      <c r="FE363" s="81"/>
      <c r="FF363" s="81"/>
      <c r="FG363" s="81"/>
      <c r="FH363" s="81"/>
      <c r="FI363" s="81"/>
      <c r="FJ363" s="81"/>
      <c r="FK363" s="81"/>
      <c r="FL363" s="81"/>
      <c r="FM363" s="81"/>
      <c r="FN363" s="81"/>
      <c r="FO363" s="81"/>
      <c r="FP363" s="81"/>
      <c r="FQ363" s="81"/>
      <c r="FR363" s="81"/>
      <c r="FS363" s="81"/>
      <c r="FT363" s="81"/>
      <c r="FU363" s="81"/>
      <c r="FV363" s="81"/>
      <c r="FW363" s="81"/>
      <c r="FX363" s="81"/>
      <c r="FY363" s="81"/>
      <c r="FZ363" s="81"/>
      <c r="GA363" s="81"/>
      <c r="GB363" s="81"/>
      <c r="GC363" s="81"/>
      <c r="GD363" s="81"/>
      <c r="GE363" s="81"/>
      <c r="GF363" s="81"/>
      <c r="GG363" s="81"/>
      <c r="GH363" s="81"/>
      <c r="GI363" s="81"/>
      <c r="GJ363" s="81"/>
      <c r="GK363" s="81"/>
      <c r="GL363" s="81"/>
      <c r="GM363" s="81"/>
      <c r="GN363" s="81"/>
      <c r="GO363" s="81"/>
      <c r="GP363" s="81"/>
      <c r="GQ363" s="81"/>
      <c r="GR363" s="81"/>
      <c r="GS363" s="81"/>
      <c r="GT363" s="81"/>
      <c r="GU363" s="81"/>
      <c r="GV363" s="81"/>
      <c r="GW363" s="81"/>
      <c r="GX363" s="81"/>
      <c r="GY363" s="81"/>
      <c r="GZ363" s="81"/>
      <c r="HA363" s="81"/>
      <c r="HB363" s="81"/>
      <c r="HC363" s="81"/>
      <c r="HD363" s="81"/>
      <c r="HE363" s="81"/>
      <c r="HF363" s="81"/>
      <c r="HG363" s="81"/>
      <c r="HH363" s="81"/>
      <c r="HI363" s="81"/>
      <c r="HJ363" s="81"/>
      <c r="HK363" s="81"/>
      <c r="HL363" s="81"/>
      <c r="HM363" s="81"/>
      <c r="HN363" s="81"/>
      <c r="HO363" s="81"/>
      <c r="HP363" s="81"/>
      <c r="HQ363" s="81"/>
      <c r="HR363" s="81"/>
      <c r="HS363" s="81"/>
      <c r="HT363" s="81"/>
      <c r="HU363" s="81"/>
      <c r="HV363" s="81"/>
      <c r="HW363" s="81"/>
      <c r="HX363" s="81"/>
      <c r="HY363" s="81"/>
      <c r="HZ363" s="81"/>
      <c r="IA363" s="81"/>
      <c r="IB363" s="81"/>
      <c r="IC363" s="81"/>
      <c r="ID363" s="81"/>
      <c r="IE363" s="81"/>
      <c r="IF363" s="81"/>
      <c r="IG363" s="81"/>
      <c r="IH363" s="81"/>
      <c r="II363" s="81"/>
      <c r="IJ363" s="81"/>
    </row>
    <row r="364" spans="1:244" s="84" customFormat="1" ht="28.5" x14ac:dyDescent="0.25">
      <c r="A364" s="54"/>
      <c r="B364" s="44" t="s">
        <v>428</v>
      </c>
      <c r="C364" s="42" t="s">
        <v>53</v>
      </c>
      <c r="D364" s="46">
        <f>D362</f>
        <v>1</v>
      </c>
      <c r="E364" s="45">
        <v>0.04</v>
      </c>
      <c r="F364" s="55">
        <f>D364*E364</f>
        <v>0.04</v>
      </c>
      <c r="G364" s="42" t="s">
        <v>53</v>
      </c>
      <c r="H364" s="41">
        <v>0</v>
      </c>
      <c r="I364" s="41">
        <v>0</v>
      </c>
      <c r="J364" s="41">
        <f>$D364*H364</f>
        <v>0</v>
      </c>
      <c r="K364" s="41">
        <f t="shared" si="108"/>
        <v>0</v>
      </c>
      <c r="L364" s="41">
        <f>J364+K364</f>
        <v>0</v>
      </c>
      <c r="M364" s="81"/>
      <c r="N364" s="81"/>
      <c r="O364" s="81"/>
      <c r="P364" s="81"/>
      <c r="Q364" s="81"/>
      <c r="R364" s="81"/>
      <c r="S364" s="81"/>
      <c r="T364" s="81"/>
      <c r="U364" s="81"/>
      <c r="V364" s="81"/>
      <c r="W364" s="81"/>
      <c r="X364" s="81"/>
      <c r="Y364" s="81"/>
      <c r="Z364" s="81"/>
      <c r="AA364" s="81"/>
      <c r="AB364" s="81"/>
      <c r="AC364" s="81"/>
      <c r="AD364" s="81"/>
      <c r="AE364" s="81"/>
      <c r="AF364" s="81"/>
      <c r="AG364" s="81"/>
      <c r="AH364" s="81"/>
      <c r="AI364" s="81"/>
      <c r="AJ364" s="81"/>
      <c r="AK364" s="81"/>
      <c r="AL364" s="81"/>
      <c r="AM364" s="81"/>
      <c r="AN364" s="81"/>
      <c r="AO364" s="81"/>
      <c r="AP364" s="81"/>
      <c r="AQ364" s="81"/>
      <c r="AR364" s="81"/>
      <c r="AS364" s="81"/>
      <c r="AT364" s="81"/>
      <c r="AU364" s="81"/>
      <c r="AV364" s="81"/>
      <c r="AW364" s="81"/>
      <c r="AX364" s="81"/>
      <c r="AY364" s="81"/>
      <c r="AZ364" s="81"/>
      <c r="BA364" s="81"/>
      <c r="BB364" s="81"/>
      <c r="BC364" s="81"/>
      <c r="BD364" s="81"/>
      <c r="BE364" s="81"/>
      <c r="BF364" s="81"/>
      <c r="BG364" s="81"/>
      <c r="BH364" s="81"/>
      <c r="BI364" s="81"/>
      <c r="BJ364" s="81"/>
      <c r="BK364" s="81"/>
      <c r="BL364" s="81"/>
      <c r="BM364" s="81"/>
      <c r="BN364" s="81"/>
      <c r="BO364" s="81"/>
      <c r="BP364" s="81"/>
      <c r="BQ364" s="81"/>
      <c r="BR364" s="81"/>
      <c r="BS364" s="81"/>
      <c r="BT364" s="81"/>
      <c r="BU364" s="81"/>
      <c r="BV364" s="81"/>
      <c r="BW364" s="81"/>
      <c r="BX364" s="81"/>
      <c r="BY364" s="81"/>
      <c r="BZ364" s="81"/>
      <c r="CA364" s="81"/>
      <c r="CB364" s="81"/>
      <c r="CC364" s="81"/>
      <c r="CD364" s="81"/>
      <c r="CE364" s="81"/>
      <c r="CF364" s="81"/>
      <c r="CG364" s="81"/>
      <c r="CH364" s="81"/>
      <c r="CI364" s="81"/>
      <c r="CJ364" s="81"/>
      <c r="CK364" s="81"/>
      <c r="CL364" s="81"/>
      <c r="CM364" s="81"/>
      <c r="CN364" s="81"/>
      <c r="CO364" s="81"/>
      <c r="CP364" s="81"/>
      <c r="CQ364" s="81"/>
      <c r="CR364" s="81"/>
      <c r="CS364" s="81"/>
      <c r="CT364" s="81"/>
      <c r="CU364" s="81"/>
      <c r="CV364" s="81"/>
      <c r="CW364" s="81"/>
      <c r="CX364" s="81"/>
      <c r="CY364" s="81"/>
      <c r="CZ364" s="81"/>
      <c r="DA364" s="81"/>
      <c r="DB364" s="81"/>
      <c r="DC364" s="81"/>
      <c r="DD364" s="81"/>
      <c r="DE364" s="81"/>
      <c r="DF364" s="81"/>
      <c r="DG364" s="81"/>
      <c r="DH364" s="81"/>
      <c r="DI364" s="81"/>
      <c r="DJ364" s="81"/>
      <c r="DK364" s="81"/>
      <c r="DL364" s="81"/>
      <c r="DM364" s="81"/>
      <c r="DN364" s="81"/>
      <c r="DO364" s="81"/>
      <c r="DP364" s="81"/>
      <c r="DQ364" s="81"/>
      <c r="DR364" s="81"/>
      <c r="DS364" s="81"/>
      <c r="DT364" s="81"/>
      <c r="DU364" s="81"/>
      <c r="DV364" s="81"/>
      <c r="DW364" s="81"/>
      <c r="DX364" s="81"/>
      <c r="DY364" s="81"/>
      <c r="DZ364" s="81"/>
      <c r="EA364" s="81"/>
      <c r="EB364" s="81"/>
      <c r="EC364" s="81"/>
      <c r="ED364" s="81"/>
      <c r="EE364" s="81"/>
      <c r="EF364" s="81"/>
      <c r="EG364" s="81"/>
      <c r="EH364" s="81"/>
      <c r="EI364" s="81"/>
      <c r="EJ364" s="81"/>
      <c r="EK364" s="81"/>
      <c r="EL364" s="81"/>
      <c r="EM364" s="81"/>
      <c r="EN364" s="81"/>
      <c r="EO364" s="81"/>
      <c r="EP364" s="81"/>
      <c r="EQ364" s="81"/>
      <c r="ER364" s="81"/>
      <c r="ES364" s="81"/>
      <c r="ET364" s="81"/>
      <c r="EU364" s="81"/>
      <c r="EV364" s="81"/>
      <c r="EW364" s="81"/>
      <c r="EX364" s="81"/>
      <c r="EY364" s="81"/>
      <c r="EZ364" s="81"/>
      <c r="FA364" s="81"/>
      <c r="FB364" s="81"/>
      <c r="FC364" s="81"/>
      <c r="FD364" s="81"/>
      <c r="FE364" s="81"/>
      <c r="FF364" s="81"/>
      <c r="FG364" s="81"/>
      <c r="FH364" s="81"/>
      <c r="FI364" s="81"/>
      <c r="FJ364" s="81"/>
      <c r="FK364" s="81"/>
      <c r="FL364" s="81"/>
      <c r="FM364" s="81"/>
      <c r="FN364" s="81"/>
      <c r="FO364" s="81"/>
      <c r="FP364" s="81"/>
      <c r="FQ364" s="81"/>
      <c r="FR364" s="81"/>
      <c r="FS364" s="81"/>
      <c r="FT364" s="81"/>
      <c r="FU364" s="81"/>
      <c r="FV364" s="81"/>
      <c r="FW364" s="81"/>
      <c r="FX364" s="81"/>
      <c r="FY364" s="81"/>
      <c r="FZ364" s="81"/>
      <c r="GA364" s="81"/>
      <c r="GB364" s="81"/>
      <c r="GC364" s="81"/>
      <c r="GD364" s="81"/>
      <c r="GE364" s="81"/>
      <c r="GF364" s="81"/>
      <c r="GG364" s="81"/>
      <c r="GH364" s="81"/>
      <c r="GI364" s="81"/>
      <c r="GJ364" s="81"/>
      <c r="GK364" s="81"/>
      <c r="GL364" s="81"/>
      <c r="GM364" s="81"/>
      <c r="GN364" s="81"/>
      <c r="GO364" s="81"/>
      <c r="GP364" s="81"/>
      <c r="GQ364" s="81"/>
      <c r="GR364" s="81"/>
      <c r="GS364" s="81"/>
      <c r="GT364" s="81"/>
      <c r="GU364" s="81"/>
      <c r="GV364" s="81"/>
      <c r="GW364" s="81"/>
      <c r="GX364" s="81"/>
      <c r="GY364" s="81"/>
      <c r="GZ364" s="81"/>
      <c r="HA364" s="81"/>
      <c r="HB364" s="81"/>
      <c r="HC364" s="81"/>
      <c r="HD364" s="81"/>
      <c r="HE364" s="81"/>
      <c r="HF364" s="81"/>
      <c r="HG364" s="81"/>
      <c r="HH364" s="81"/>
      <c r="HI364" s="81"/>
      <c r="HJ364" s="81"/>
      <c r="HK364" s="81"/>
      <c r="HL364" s="81"/>
      <c r="HM364" s="81"/>
      <c r="HN364" s="81"/>
      <c r="HO364" s="81"/>
      <c r="HP364" s="81"/>
      <c r="HQ364" s="81"/>
      <c r="HR364" s="81"/>
      <c r="HS364" s="81"/>
      <c r="HT364" s="81"/>
      <c r="HU364" s="81"/>
      <c r="HV364" s="81"/>
      <c r="HW364" s="81"/>
      <c r="HX364" s="81"/>
      <c r="HY364" s="81"/>
      <c r="HZ364" s="81"/>
      <c r="IA364" s="81"/>
      <c r="IB364" s="81"/>
      <c r="IC364" s="81"/>
      <c r="ID364" s="81"/>
      <c r="IE364" s="81"/>
      <c r="IF364" s="81"/>
      <c r="IG364" s="81"/>
      <c r="IH364" s="81"/>
      <c r="II364" s="81"/>
      <c r="IJ364" s="81"/>
    </row>
    <row r="365" spans="1:244" s="81" customFormat="1" x14ac:dyDescent="0.25">
      <c r="A365" s="84"/>
      <c r="B365" s="85"/>
      <c r="C365" s="41"/>
      <c r="D365" s="41"/>
      <c r="E365" s="45"/>
      <c r="F365" s="41"/>
      <c r="G365" s="41"/>
      <c r="H365" s="75"/>
      <c r="I365" s="75"/>
      <c r="J365" s="41"/>
      <c r="K365" s="41"/>
      <c r="L365" s="41"/>
      <c r="M365" s="84"/>
      <c r="N365" s="84"/>
      <c r="O365" s="84"/>
      <c r="P365" s="84"/>
      <c r="Q365" s="84"/>
      <c r="R365" s="84"/>
      <c r="S365" s="84"/>
      <c r="T365" s="84"/>
      <c r="U365" s="84"/>
      <c r="V365" s="84"/>
      <c r="W365" s="84"/>
      <c r="X365" s="84"/>
      <c r="Y365" s="84"/>
      <c r="Z365" s="84"/>
      <c r="AA365" s="84"/>
      <c r="AB365" s="84"/>
      <c r="AC365" s="84"/>
      <c r="AD365" s="84"/>
      <c r="AE365" s="84"/>
      <c r="AF365" s="84"/>
      <c r="AG365" s="84"/>
      <c r="AH365" s="84"/>
      <c r="AI365" s="84"/>
      <c r="AJ365" s="84"/>
      <c r="AK365" s="84"/>
      <c r="AL365" s="84"/>
      <c r="AM365" s="84"/>
      <c r="AN365" s="84"/>
      <c r="AO365" s="84"/>
      <c r="AP365" s="84"/>
      <c r="AQ365" s="84"/>
      <c r="AR365" s="84"/>
      <c r="AS365" s="84"/>
      <c r="AT365" s="84"/>
      <c r="AU365" s="84"/>
      <c r="AV365" s="84"/>
      <c r="AW365" s="84"/>
      <c r="AX365" s="84"/>
      <c r="AY365" s="84"/>
      <c r="AZ365" s="84"/>
      <c r="BA365" s="84"/>
      <c r="BB365" s="84"/>
      <c r="BC365" s="84"/>
      <c r="BD365" s="84"/>
      <c r="BE365" s="84"/>
      <c r="BF365" s="84"/>
      <c r="BG365" s="84"/>
      <c r="BH365" s="84"/>
      <c r="BI365" s="84"/>
      <c r="BJ365" s="84"/>
      <c r="BK365" s="84"/>
      <c r="BL365" s="84"/>
      <c r="BM365" s="84"/>
      <c r="BN365" s="84"/>
      <c r="BO365" s="84"/>
      <c r="BP365" s="84"/>
      <c r="BQ365" s="84"/>
      <c r="BR365" s="84"/>
      <c r="BS365" s="84"/>
      <c r="BT365" s="84"/>
      <c r="BU365" s="84"/>
      <c r="BV365" s="84"/>
      <c r="BW365" s="84"/>
      <c r="BX365" s="84"/>
      <c r="BY365" s="84"/>
      <c r="BZ365" s="84"/>
      <c r="CA365" s="84"/>
      <c r="CB365" s="84"/>
      <c r="CC365" s="84"/>
      <c r="CD365" s="84"/>
      <c r="CE365" s="84"/>
      <c r="CF365" s="84"/>
      <c r="CG365" s="84"/>
      <c r="CH365" s="84"/>
      <c r="CI365" s="84"/>
      <c r="CJ365" s="84"/>
      <c r="CK365" s="84"/>
      <c r="CL365" s="84"/>
      <c r="CM365" s="84"/>
      <c r="CN365" s="84"/>
      <c r="CO365" s="84"/>
      <c r="CP365" s="84"/>
      <c r="CQ365" s="84"/>
      <c r="CR365" s="84"/>
      <c r="CS365" s="84"/>
      <c r="CT365" s="84"/>
      <c r="CU365" s="84"/>
      <c r="CV365" s="84"/>
      <c r="CW365" s="84"/>
      <c r="CX365" s="84"/>
      <c r="CY365" s="84"/>
      <c r="CZ365" s="84"/>
      <c r="DA365" s="84"/>
      <c r="DB365" s="84"/>
      <c r="DC365" s="84"/>
      <c r="DD365" s="84"/>
      <c r="DE365" s="84"/>
      <c r="DF365" s="84"/>
      <c r="DG365" s="84"/>
      <c r="DH365" s="84"/>
      <c r="DI365" s="84"/>
      <c r="DJ365" s="84"/>
      <c r="DK365" s="84"/>
      <c r="DL365" s="84"/>
      <c r="DM365" s="84"/>
      <c r="DN365" s="84"/>
      <c r="DO365" s="84"/>
      <c r="DP365" s="84"/>
      <c r="DQ365" s="84"/>
      <c r="DR365" s="84"/>
      <c r="DS365" s="84"/>
      <c r="DT365" s="84"/>
      <c r="DU365" s="84"/>
      <c r="DV365" s="84"/>
      <c r="DW365" s="84"/>
      <c r="DX365" s="84"/>
      <c r="DY365" s="84"/>
      <c r="DZ365" s="84"/>
      <c r="EA365" s="84"/>
      <c r="EB365" s="84"/>
      <c r="EC365" s="84"/>
      <c r="ED365" s="84"/>
      <c r="EE365" s="84"/>
      <c r="EF365" s="84"/>
      <c r="EG365" s="84"/>
      <c r="EH365" s="84"/>
      <c r="EI365" s="84"/>
      <c r="EJ365" s="84"/>
      <c r="EK365" s="84"/>
      <c r="EL365" s="84"/>
      <c r="EM365" s="84"/>
      <c r="EN365" s="84"/>
      <c r="EO365" s="84"/>
      <c r="EP365" s="84"/>
      <c r="EQ365" s="84"/>
      <c r="ER365" s="84"/>
      <c r="ES365" s="84"/>
      <c r="ET365" s="84"/>
      <c r="EU365" s="84"/>
      <c r="EV365" s="84"/>
      <c r="EW365" s="84"/>
      <c r="EX365" s="84"/>
      <c r="EY365" s="84"/>
      <c r="EZ365" s="84"/>
      <c r="FA365" s="84"/>
      <c r="FB365" s="84"/>
      <c r="FC365" s="84"/>
      <c r="FD365" s="84"/>
      <c r="FE365" s="84"/>
      <c r="FF365" s="84"/>
      <c r="FG365" s="84"/>
      <c r="FH365" s="84"/>
      <c r="FI365" s="84"/>
      <c r="FJ365" s="84"/>
      <c r="FK365" s="84"/>
      <c r="FL365" s="84"/>
      <c r="FM365" s="84"/>
      <c r="FN365" s="84"/>
      <c r="FO365" s="84"/>
      <c r="FP365" s="84"/>
      <c r="FQ365" s="84"/>
      <c r="FR365" s="84"/>
      <c r="FS365" s="84"/>
      <c r="FT365" s="84"/>
      <c r="FU365" s="84"/>
      <c r="FV365" s="84"/>
      <c r="FW365" s="84"/>
      <c r="FX365" s="84"/>
      <c r="FY365" s="84"/>
      <c r="FZ365" s="84"/>
      <c r="GA365" s="84"/>
      <c r="GB365" s="84"/>
      <c r="GC365" s="84"/>
      <c r="GD365" s="84"/>
      <c r="GE365" s="84"/>
      <c r="GF365" s="84"/>
      <c r="GG365" s="84"/>
      <c r="GH365" s="84"/>
      <c r="GI365" s="84"/>
      <c r="GJ365" s="84"/>
      <c r="GK365" s="84"/>
      <c r="GL365" s="84"/>
      <c r="GM365" s="84"/>
      <c r="GN365" s="84"/>
      <c r="GO365" s="84"/>
      <c r="GP365" s="84"/>
      <c r="GQ365" s="84"/>
      <c r="GR365" s="84"/>
      <c r="GS365" s="84"/>
      <c r="GT365" s="84"/>
      <c r="GU365" s="84"/>
      <c r="GV365" s="84"/>
      <c r="GW365" s="84"/>
      <c r="GX365" s="84"/>
      <c r="GY365" s="84"/>
      <c r="GZ365" s="84"/>
      <c r="HA365" s="84"/>
      <c r="HB365" s="84"/>
      <c r="HC365" s="84"/>
      <c r="HD365" s="84"/>
      <c r="HE365" s="84"/>
      <c r="HF365" s="84"/>
      <c r="HG365" s="84"/>
      <c r="HH365" s="84"/>
      <c r="HI365" s="84"/>
      <c r="HJ365" s="84"/>
      <c r="HK365" s="84"/>
      <c r="HL365" s="84"/>
      <c r="HM365" s="84"/>
      <c r="HN365" s="84"/>
      <c r="HO365" s="84"/>
      <c r="HP365" s="84"/>
      <c r="HQ365" s="84"/>
      <c r="HR365" s="84"/>
      <c r="HS365" s="84"/>
      <c r="HT365" s="84"/>
      <c r="HU365" s="84"/>
      <c r="HV365" s="84"/>
      <c r="HW365" s="84"/>
      <c r="HX365" s="84"/>
      <c r="HY365" s="84"/>
      <c r="HZ365" s="84"/>
      <c r="IA365" s="84"/>
      <c r="IB365" s="84"/>
      <c r="IC365" s="84"/>
      <c r="ID365" s="84"/>
      <c r="IE365" s="84"/>
      <c r="IF365" s="84"/>
      <c r="IG365" s="84"/>
      <c r="IH365" s="84"/>
      <c r="II365" s="84"/>
      <c r="IJ365" s="84"/>
    </row>
    <row r="366" spans="1:244" s="81" customFormat="1" ht="13" x14ac:dyDescent="0.25">
      <c r="A366" s="54"/>
      <c r="B366" s="94" t="s">
        <v>412</v>
      </c>
      <c r="C366" s="41"/>
      <c r="D366" s="41"/>
      <c r="E366" s="45"/>
      <c r="F366" s="55"/>
      <c r="G366" s="41"/>
      <c r="H366" s="41"/>
      <c r="I366" s="41"/>
      <c r="J366" s="41"/>
      <c r="K366" s="41"/>
      <c r="L366" s="41"/>
    </row>
    <row r="367" spans="1:244" s="43" customFormat="1" ht="25" x14ac:dyDescent="0.25">
      <c r="A367" s="54"/>
      <c r="B367" s="44" t="s">
        <v>414</v>
      </c>
      <c r="C367" s="41" t="s">
        <v>68</v>
      </c>
      <c r="D367" s="46">
        <f>CEILING(1.01*(2.5+1.5),1)</f>
        <v>5</v>
      </c>
      <c r="E367" s="45">
        <v>2.9849999999999999</v>
      </c>
      <c r="F367" s="55">
        <f t="shared" ref="F367" si="109">D367*E367</f>
        <v>14.924999999999999</v>
      </c>
      <c r="G367" s="41" t="s">
        <v>69</v>
      </c>
      <c r="H367" s="41">
        <v>0</v>
      </c>
      <c r="I367" s="41">
        <v>0</v>
      </c>
      <c r="J367" s="41">
        <f t="shared" ref="J367:K370" si="110">$D367*H367</f>
        <v>0</v>
      </c>
      <c r="K367" s="41">
        <f t="shared" si="110"/>
        <v>0</v>
      </c>
      <c r="L367" s="41">
        <f t="shared" ref="L367" si="111">J367+K367</f>
        <v>0</v>
      </c>
    </row>
    <row r="368" spans="1:244" customFormat="1" ht="25" x14ac:dyDescent="0.25">
      <c r="B368" s="110" t="s">
        <v>413</v>
      </c>
      <c r="C368" s="41" t="s">
        <v>53</v>
      </c>
      <c r="D368" s="41">
        <f>2</f>
        <v>2</v>
      </c>
      <c r="E368" s="45">
        <v>0.62</v>
      </c>
      <c r="F368" s="41">
        <f t="shared" ref="F368" si="112">D368*E368</f>
        <v>1.24</v>
      </c>
      <c r="G368" s="41" t="s">
        <v>53</v>
      </c>
      <c r="H368" s="75">
        <v>0</v>
      </c>
      <c r="I368" s="75">
        <v>0</v>
      </c>
      <c r="J368" s="41">
        <f t="shared" si="110"/>
        <v>0</v>
      </c>
      <c r="K368" s="41">
        <f t="shared" si="110"/>
        <v>0</v>
      </c>
      <c r="L368" s="41">
        <f t="shared" ref="L368" si="113">J368+K368</f>
        <v>0</v>
      </c>
    </row>
    <row r="369" spans="1:244" s="43" customFormat="1" ht="37.5" x14ac:dyDescent="0.25">
      <c r="A369" s="54"/>
      <c r="B369" s="44" t="s">
        <v>347</v>
      </c>
      <c r="C369" s="41" t="s">
        <v>53</v>
      </c>
      <c r="D369" s="41">
        <f>1</f>
        <v>1</v>
      </c>
      <c r="E369" s="45">
        <v>0.14000000000000001</v>
      </c>
      <c r="F369" s="55">
        <f>D369*E369</f>
        <v>0.14000000000000001</v>
      </c>
      <c r="G369" s="41" t="s">
        <v>53</v>
      </c>
      <c r="H369" s="41">
        <v>0</v>
      </c>
      <c r="I369" s="41">
        <v>0</v>
      </c>
      <c r="J369" s="41">
        <f t="shared" si="110"/>
        <v>0</v>
      </c>
      <c r="K369" s="41">
        <f t="shared" si="110"/>
        <v>0</v>
      </c>
      <c r="L369" s="41">
        <f>J369+K369</f>
        <v>0</v>
      </c>
    </row>
    <row r="370" spans="1:244" s="43" customFormat="1" ht="37.5" x14ac:dyDescent="0.25">
      <c r="A370" s="54"/>
      <c r="B370" s="44" t="s">
        <v>415</v>
      </c>
      <c r="C370" s="41" t="s">
        <v>53</v>
      </c>
      <c r="D370" s="41">
        <f>2</f>
        <v>2</v>
      </c>
      <c r="E370" s="45">
        <v>3</v>
      </c>
      <c r="F370" s="55">
        <f t="shared" ref="F370" si="114">D370*E370</f>
        <v>6</v>
      </c>
      <c r="G370" s="41" t="s">
        <v>53</v>
      </c>
      <c r="H370" s="41">
        <v>0</v>
      </c>
      <c r="I370" s="41">
        <v>0</v>
      </c>
      <c r="J370" s="41">
        <f t="shared" ref="J370" si="115">$D370*H370</f>
        <v>0</v>
      </c>
      <c r="K370" s="41">
        <f t="shared" si="110"/>
        <v>0</v>
      </c>
      <c r="L370" s="41">
        <f t="shared" ref="L370" si="116">J370+K370</f>
        <v>0</v>
      </c>
    </row>
    <row r="371" spans="1:244" ht="13" x14ac:dyDescent="0.25">
      <c r="A371" s="18"/>
      <c r="B371" s="13"/>
      <c r="C371" s="12"/>
      <c r="D371" s="24"/>
      <c r="E371" s="12"/>
      <c r="F371" s="12"/>
      <c r="G371" s="12"/>
      <c r="H371" s="11"/>
      <c r="I371" s="11"/>
      <c r="J371" s="11"/>
      <c r="K371" s="11"/>
      <c r="L371" s="11"/>
    </row>
    <row r="372" spans="1:244" x14ac:dyDescent="0.25">
      <c r="A372" s="18"/>
      <c r="B372" s="9" t="s">
        <v>70</v>
      </c>
      <c r="C372" s="12" t="s">
        <v>71</v>
      </c>
      <c r="D372" s="24">
        <f>24</f>
        <v>24</v>
      </c>
      <c r="E372" s="12"/>
      <c r="F372" s="12"/>
      <c r="G372" s="12" t="s">
        <v>71</v>
      </c>
      <c r="H372" s="11">
        <v>0</v>
      </c>
      <c r="I372" s="11">
        <v>0</v>
      </c>
      <c r="J372" s="11"/>
      <c r="K372" s="11">
        <f>$D372*I372</f>
        <v>0</v>
      </c>
      <c r="L372" s="11">
        <f>J372+K372</f>
        <v>0</v>
      </c>
    </row>
    <row r="373" spans="1:244" s="43" customFormat="1" x14ac:dyDescent="0.25">
      <c r="A373" s="16"/>
      <c r="B373" s="2"/>
      <c r="C373" s="3"/>
      <c r="D373" s="1"/>
      <c r="E373" s="1"/>
      <c r="F373" s="1"/>
      <c r="G373" s="1"/>
      <c r="H373" s="3"/>
      <c r="I373" s="3"/>
      <c r="J373" s="3"/>
      <c r="K373" s="3"/>
      <c r="L373" s="1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  <c r="CG373" s="3"/>
      <c r="CH373" s="3"/>
      <c r="CI373" s="3"/>
      <c r="CJ373" s="3"/>
      <c r="CK373" s="3"/>
      <c r="CL373" s="3"/>
      <c r="CM373" s="3"/>
      <c r="CN373" s="3"/>
      <c r="CO373" s="3"/>
      <c r="CP373" s="3"/>
      <c r="CQ373" s="3"/>
      <c r="CR373" s="3"/>
      <c r="CS373" s="3"/>
      <c r="CT373" s="3"/>
      <c r="CU373" s="3"/>
      <c r="CV373" s="3"/>
      <c r="CW373" s="3"/>
      <c r="CX373" s="3"/>
      <c r="CY373" s="3"/>
      <c r="CZ373" s="3"/>
      <c r="DA373" s="3"/>
      <c r="DB373" s="3"/>
      <c r="DC373" s="3"/>
      <c r="DD373" s="3"/>
      <c r="DE373" s="3"/>
      <c r="DF373" s="3"/>
      <c r="DG373" s="3"/>
      <c r="DH373" s="3"/>
      <c r="DI373" s="3"/>
      <c r="DJ373" s="3"/>
      <c r="DK373" s="3"/>
      <c r="DL373" s="3"/>
      <c r="DM373" s="3"/>
      <c r="DN373" s="3"/>
      <c r="DO373" s="3"/>
      <c r="DP373" s="3"/>
      <c r="DQ373" s="3"/>
      <c r="DR373" s="3"/>
      <c r="DS373" s="3"/>
      <c r="DT373" s="3"/>
      <c r="DU373" s="3"/>
      <c r="DV373" s="3"/>
      <c r="DW373" s="3"/>
      <c r="DX373" s="3"/>
      <c r="DY373" s="3"/>
      <c r="DZ373" s="3"/>
      <c r="EA373" s="3"/>
      <c r="EB373" s="3"/>
      <c r="EC373" s="3"/>
      <c r="ED373" s="3"/>
      <c r="EE373" s="3"/>
      <c r="EF373" s="3"/>
      <c r="EG373" s="3"/>
      <c r="EH373" s="3"/>
      <c r="EI373" s="3"/>
      <c r="EJ373" s="3"/>
      <c r="EK373" s="3"/>
      <c r="EL373" s="3"/>
      <c r="EM373" s="3"/>
      <c r="EN373" s="3"/>
      <c r="EO373" s="3"/>
      <c r="EP373" s="3"/>
      <c r="EQ373" s="3"/>
      <c r="ER373" s="3"/>
      <c r="ES373" s="3"/>
      <c r="ET373" s="3"/>
      <c r="EU373" s="3"/>
      <c r="EV373" s="3"/>
      <c r="EW373" s="3"/>
      <c r="EX373" s="3"/>
      <c r="EY373" s="3"/>
      <c r="EZ373" s="3"/>
      <c r="FA373" s="3"/>
      <c r="FB373" s="3"/>
      <c r="FC373" s="3"/>
      <c r="FD373" s="3"/>
      <c r="FE373" s="3"/>
      <c r="FF373" s="3"/>
      <c r="FG373" s="3"/>
      <c r="FH373" s="3"/>
      <c r="FI373" s="3"/>
      <c r="FJ373" s="3"/>
      <c r="FK373" s="3"/>
      <c r="FL373" s="3"/>
      <c r="FM373" s="3"/>
      <c r="FN373" s="3"/>
      <c r="FO373" s="3"/>
      <c r="FP373" s="3"/>
      <c r="FQ373" s="3"/>
      <c r="FR373" s="3"/>
      <c r="FS373" s="3"/>
      <c r="FT373" s="3"/>
      <c r="FU373" s="3"/>
      <c r="FV373" s="3"/>
      <c r="FW373" s="3"/>
      <c r="FX373" s="3"/>
      <c r="FY373" s="3"/>
      <c r="FZ373" s="3"/>
      <c r="GA373" s="3"/>
      <c r="GB373" s="3"/>
      <c r="GC373" s="3"/>
      <c r="GD373" s="3"/>
      <c r="GE373" s="3"/>
      <c r="GF373" s="3"/>
      <c r="GG373" s="3"/>
      <c r="GH373" s="3"/>
      <c r="GI373" s="3"/>
      <c r="GJ373" s="3"/>
      <c r="GK373" s="3"/>
      <c r="GL373" s="3"/>
      <c r="GM373" s="3"/>
      <c r="GN373" s="3"/>
      <c r="GO373" s="3"/>
      <c r="GP373" s="3"/>
      <c r="GQ373" s="3"/>
      <c r="GR373" s="3"/>
      <c r="GS373" s="3"/>
      <c r="GT373" s="3"/>
      <c r="GU373" s="3"/>
      <c r="GV373" s="3"/>
      <c r="GW373" s="3"/>
      <c r="GX373" s="3"/>
      <c r="GY373" s="3"/>
      <c r="GZ373" s="3"/>
      <c r="HA373" s="3"/>
      <c r="HB373" s="3"/>
      <c r="HC373" s="3"/>
      <c r="HD373" s="3"/>
      <c r="HE373" s="3"/>
      <c r="HF373" s="3"/>
      <c r="HG373" s="3"/>
      <c r="HH373" s="3"/>
      <c r="HI373" s="3"/>
      <c r="HJ373" s="3"/>
      <c r="HK373" s="3"/>
      <c r="HL373" s="3"/>
      <c r="HM373" s="3"/>
      <c r="HN373" s="3"/>
      <c r="HO373" s="3"/>
      <c r="HP373" s="3"/>
      <c r="HQ373" s="3"/>
      <c r="HR373" s="3"/>
      <c r="HS373" s="3"/>
      <c r="HT373" s="3"/>
      <c r="HU373" s="3"/>
      <c r="HV373" s="3"/>
      <c r="HW373" s="3"/>
      <c r="HX373" s="3"/>
      <c r="HY373" s="3"/>
      <c r="HZ373" s="3"/>
      <c r="IA373" s="3"/>
      <c r="IB373" s="3"/>
      <c r="IC373" s="3"/>
      <c r="ID373" s="3"/>
      <c r="IE373" s="3"/>
      <c r="IF373" s="3"/>
      <c r="IG373" s="3"/>
      <c r="IH373" s="3"/>
      <c r="II373" s="3"/>
      <c r="IJ373" s="3"/>
    </row>
    <row r="374" spans="1:244" s="43" customFormat="1" ht="13" x14ac:dyDescent="0.25">
      <c r="A374" s="48"/>
      <c r="B374" s="49" t="s">
        <v>57</v>
      </c>
      <c r="C374" s="41"/>
      <c r="D374" s="1"/>
      <c r="E374" s="50"/>
      <c r="F374" s="50">
        <f>SUM(F173:F372)</f>
        <v>1636.5909999999997</v>
      </c>
      <c r="G374" s="50"/>
      <c r="H374" s="50"/>
      <c r="I374" s="50"/>
      <c r="J374" s="50">
        <f>CEILING(SUM(J173:J372)*1.1,100)</f>
        <v>0</v>
      </c>
      <c r="K374" s="50">
        <f>CEILING(SUM(K173:K372)*1.1,100)</f>
        <v>0</v>
      </c>
      <c r="L374" s="50">
        <f>J374+K374</f>
        <v>0</v>
      </c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  <c r="CH374" s="10"/>
      <c r="CI374" s="10"/>
      <c r="CJ374" s="10"/>
      <c r="CK374" s="10"/>
      <c r="CL374" s="10"/>
      <c r="CM374" s="10"/>
      <c r="CN374" s="10"/>
      <c r="CO374" s="10"/>
      <c r="CP374" s="10"/>
      <c r="CQ374" s="10"/>
      <c r="CR374" s="10"/>
      <c r="CS374" s="10"/>
      <c r="CT374" s="10"/>
      <c r="CU374" s="10"/>
      <c r="CV374" s="10"/>
      <c r="CW374" s="10"/>
      <c r="CX374" s="10"/>
      <c r="CY374" s="10"/>
      <c r="CZ374" s="10"/>
      <c r="DA374" s="10"/>
      <c r="DB374" s="10"/>
      <c r="DC374" s="10"/>
      <c r="DD374" s="10"/>
      <c r="DE374" s="10"/>
      <c r="DF374" s="10"/>
      <c r="DG374" s="10"/>
      <c r="DH374" s="10"/>
      <c r="DI374" s="10"/>
      <c r="DJ374" s="10"/>
      <c r="DK374" s="10"/>
      <c r="DL374" s="10"/>
      <c r="DM374" s="10"/>
      <c r="DN374" s="10"/>
      <c r="DO374" s="10"/>
      <c r="DP374" s="10"/>
      <c r="DQ374" s="10"/>
      <c r="DR374" s="10"/>
      <c r="DS374" s="10"/>
      <c r="DT374" s="10"/>
      <c r="DU374" s="10"/>
      <c r="DV374" s="10"/>
      <c r="DW374" s="10"/>
      <c r="DX374" s="10"/>
      <c r="DY374" s="10"/>
      <c r="DZ374" s="10"/>
      <c r="EA374" s="10"/>
      <c r="EB374" s="10"/>
      <c r="EC374" s="10"/>
      <c r="ED374" s="10"/>
      <c r="EE374" s="10"/>
      <c r="EF374" s="10"/>
      <c r="EG374" s="10"/>
      <c r="EH374" s="10"/>
      <c r="EI374" s="10"/>
      <c r="EJ374" s="10"/>
      <c r="EK374" s="10"/>
      <c r="EL374" s="10"/>
      <c r="EM374" s="10"/>
      <c r="EN374" s="10"/>
      <c r="EO374" s="10"/>
      <c r="EP374" s="10"/>
      <c r="EQ374" s="10"/>
      <c r="ER374" s="10"/>
      <c r="ES374" s="10"/>
      <c r="ET374" s="10"/>
      <c r="EU374" s="10"/>
      <c r="EV374" s="10"/>
      <c r="EW374" s="10"/>
      <c r="EX374" s="10"/>
      <c r="EY374" s="10"/>
      <c r="EZ374" s="10"/>
      <c r="FA374" s="10"/>
      <c r="FB374" s="10"/>
      <c r="FC374" s="10"/>
      <c r="FD374" s="10"/>
      <c r="FE374" s="10"/>
      <c r="FF374" s="10"/>
      <c r="FG374" s="10"/>
      <c r="FH374" s="10"/>
      <c r="FI374" s="10"/>
      <c r="FJ374" s="10"/>
      <c r="FK374" s="10"/>
      <c r="FL374" s="10"/>
      <c r="FM374" s="10"/>
      <c r="FN374" s="10"/>
      <c r="FO374" s="10"/>
      <c r="FP374" s="10"/>
      <c r="FQ374" s="10"/>
      <c r="FR374" s="10"/>
      <c r="FS374" s="10"/>
      <c r="FT374" s="10"/>
      <c r="FU374" s="10"/>
      <c r="FV374" s="10"/>
      <c r="FW374" s="10"/>
      <c r="FX374" s="10"/>
      <c r="FY374" s="10"/>
      <c r="FZ374" s="10"/>
      <c r="GA374" s="10"/>
      <c r="GB374" s="10"/>
      <c r="GC374" s="10"/>
      <c r="GD374" s="10"/>
      <c r="GE374" s="10"/>
      <c r="GF374" s="10"/>
      <c r="GG374" s="10"/>
      <c r="GH374" s="10"/>
      <c r="GI374" s="10"/>
      <c r="GJ374" s="10"/>
      <c r="GK374" s="10"/>
      <c r="GL374" s="10"/>
      <c r="GM374" s="10"/>
      <c r="GN374" s="10"/>
      <c r="GO374" s="10"/>
      <c r="GP374" s="10"/>
      <c r="GQ374" s="10"/>
      <c r="GR374" s="10"/>
      <c r="GS374" s="10"/>
      <c r="GT374" s="10"/>
      <c r="GU374" s="10"/>
      <c r="GV374" s="10"/>
      <c r="GW374" s="10"/>
      <c r="GX374" s="10"/>
      <c r="GY374" s="10"/>
      <c r="GZ374" s="10"/>
      <c r="HA374" s="10"/>
      <c r="HB374" s="10"/>
      <c r="HC374" s="10"/>
      <c r="HD374" s="10"/>
      <c r="HE374" s="10"/>
      <c r="HF374" s="10"/>
      <c r="HG374" s="10"/>
      <c r="HH374" s="10"/>
      <c r="HI374" s="10"/>
      <c r="HJ374" s="10"/>
      <c r="HK374" s="10"/>
      <c r="HL374" s="10"/>
      <c r="HM374" s="10"/>
      <c r="HN374" s="10"/>
      <c r="HO374" s="10"/>
      <c r="HP374" s="10"/>
      <c r="HQ374" s="10"/>
      <c r="HR374" s="10"/>
      <c r="HS374" s="10"/>
      <c r="HT374" s="10"/>
      <c r="HU374" s="10"/>
      <c r="HV374" s="10"/>
      <c r="HW374" s="10"/>
      <c r="HX374" s="10"/>
      <c r="HY374" s="10"/>
      <c r="HZ374" s="10"/>
      <c r="IA374" s="10"/>
      <c r="IB374" s="10"/>
      <c r="IC374" s="10"/>
      <c r="ID374" s="10"/>
      <c r="IE374" s="10"/>
      <c r="IF374" s="10"/>
      <c r="IG374" s="10"/>
      <c r="IH374" s="10"/>
      <c r="II374" s="10"/>
      <c r="IJ374" s="10"/>
    </row>
    <row r="375" spans="1:244" s="43" customFormat="1" x14ac:dyDescent="0.25">
      <c r="A375" s="18"/>
      <c r="B375" s="9"/>
      <c r="C375" s="12"/>
      <c r="D375" s="24"/>
      <c r="E375" s="12"/>
      <c r="F375" s="12"/>
      <c r="G375" s="12"/>
      <c r="H375" s="11"/>
      <c r="I375" s="11"/>
      <c r="J375" s="11"/>
      <c r="K375" s="11"/>
      <c r="L375" s="11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  <c r="CG375" s="3"/>
      <c r="CH375" s="3"/>
      <c r="CI375" s="3"/>
      <c r="CJ375" s="3"/>
      <c r="CK375" s="3"/>
      <c r="CL375" s="3"/>
      <c r="CM375" s="3"/>
      <c r="CN375" s="3"/>
      <c r="CO375" s="3"/>
      <c r="CP375" s="3"/>
      <c r="CQ375" s="3"/>
      <c r="CR375" s="3"/>
      <c r="CS375" s="3"/>
      <c r="CT375" s="3"/>
      <c r="CU375" s="3"/>
      <c r="CV375" s="3"/>
      <c r="CW375" s="3"/>
      <c r="CX375" s="3"/>
      <c r="CY375" s="3"/>
      <c r="CZ375" s="3"/>
      <c r="DA375" s="3"/>
      <c r="DB375" s="3"/>
      <c r="DC375" s="3"/>
      <c r="DD375" s="3"/>
      <c r="DE375" s="3"/>
      <c r="DF375" s="3"/>
      <c r="DG375" s="3"/>
      <c r="DH375" s="3"/>
      <c r="DI375" s="3"/>
      <c r="DJ375" s="3"/>
      <c r="DK375" s="3"/>
      <c r="DL375" s="3"/>
      <c r="DM375" s="3"/>
      <c r="DN375" s="3"/>
      <c r="DO375" s="3"/>
      <c r="DP375" s="3"/>
      <c r="DQ375" s="3"/>
      <c r="DR375" s="3"/>
      <c r="DS375" s="3"/>
      <c r="DT375" s="3"/>
      <c r="DU375" s="3"/>
      <c r="DV375" s="3"/>
      <c r="DW375" s="3"/>
      <c r="DX375" s="3"/>
      <c r="DY375" s="3"/>
      <c r="DZ375" s="3"/>
      <c r="EA375" s="3"/>
      <c r="EB375" s="3"/>
      <c r="EC375" s="3"/>
      <c r="ED375" s="3"/>
      <c r="EE375" s="3"/>
      <c r="EF375" s="3"/>
      <c r="EG375" s="3"/>
      <c r="EH375" s="3"/>
      <c r="EI375" s="3"/>
      <c r="EJ375" s="3"/>
      <c r="EK375" s="3"/>
      <c r="EL375" s="3"/>
      <c r="EM375" s="3"/>
      <c r="EN375" s="3"/>
      <c r="EO375" s="3"/>
      <c r="EP375" s="3"/>
      <c r="EQ375" s="3"/>
      <c r="ER375" s="3"/>
      <c r="ES375" s="3"/>
      <c r="ET375" s="3"/>
      <c r="EU375" s="3"/>
      <c r="EV375" s="3"/>
      <c r="EW375" s="3"/>
      <c r="EX375" s="3"/>
      <c r="EY375" s="3"/>
      <c r="EZ375" s="3"/>
      <c r="FA375" s="3"/>
      <c r="FB375" s="3"/>
      <c r="FC375" s="3"/>
      <c r="FD375" s="3"/>
      <c r="FE375" s="3"/>
      <c r="FF375" s="3"/>
      <c r="FG375" s="3"/>
      <c r="FH375" s="3"/>
      <c r="FI375" s="3"/>
      <c r="FJ375" s="3"/>
      <c r="FK375" s="3"/>
      <c r="FL375" s="3"/>
      <c r="FM375" s="3"/>
      <c r="FN375" s="3"/>
      <c r="FO375" s="3"/>
      <c r="FP375" s="3"/>
      <c r="FQ375" s="3"/>
      <c r="FR375" s="3"/>
      <c r="FS375" s="3"/>
      <c r="FT375" s="3"/>
      <c r="FU375" s="3"/>
      <c r="FV375" s="3"/>
      <c r="FW375" s="3"/>
      <c r="FX375" s="3"/>
      <c r="FY375" s="3"/>
      <c r="FZ375" s="3"/>
      <c r="GA375" s="3"/>
      <c r="GB375" s="3"/>
      <c r="GC375" s="3"/>
      <c r="GD375" s="3"/>
      <c r="GE375" s="3"/>
      <c r="GF375" s="3"/>
      <c r="GG375" s="3"/>
      <c r="GH375" s="3"/>
      <c r="GI375" s="3"/>
      <c r="GJ375" s="3"/>
      <c r="GK375" s="3"/>
      <c r="GL375" s="3"/>
      <c r="GM375" s="3"/>
      <c r="GN375" s="3"/>
      <c r="GO375" s="3"/>
      <c r="GP375" s="3"/>
      <c r="GQ375" s="3"/>
      <c r="GR375" s="3"/>
      <c r="GS375" s="3"/>
      <c r="GT375" s="3"/>
      <c r="GU375" s="3"/>
      <c r="GV375" s="3"/>
      <c r="GW375" s="3"/>
      <c r="GX375" s="3"/>
      <c r="GY375" s="3"/>
      <c r="GZ375" s="3"/>
      <c r="HA375" s="3"/>
      <c r="HB375" s="3"/>
      <c r="HC375" s="3"/>
      <c r="HD375" s="3"/>
      <c r="HE375" s="3"/>
      <c r="HF375" s="3"/>
      <c r="HG375" s="3"/>
      <c r="HH375" s="3"/>
      <c r="HI375" s="3"/>
      <c r="HJ375" s="3"/>
      <c r="HK375" s="3"/>
      <c r="HL375" s="3"/>
      <c r="HM375" s="3"/>
      <c r="HN375" s="3"/>
      <c r="HO375" s="3"/>
      <c r="HP375" s="3"/>
      <c r="HQ375" s="3"/>
      <c r="HR375" s="3"/>
      <c r="HS375" s="3"/>
      <c r="HT375" s="3"/>
      <c r="HU375" s="3"/>
      <c r="HV375" s="3"/>
      <c r="HW375" s="3"/>
      <c r="HX375" s="3"/>
      <c r="HY375" s="3"/>
      <c r="HZ375" s="3"/>
      <c r="IA375" s="3"/>
      <c r="IB375" s="3"/>
      <c r="IC375" s="3"/>
      <c r="ID375" s="3"/>
      <c r="IE375" s="3"/>
      <c r="IF375" s="3"/>
      <c r="IG375" s="3"/>
      <c r="IH375" s="3"/>
      <c r="II375" s="3"/>
      <c r="IJ375" s="3"/>
    </row>
    <row r="376" spans="1:244" s="43" customFormat="1" ht="13" x14ac:dyDescent="0.25">
      <c r="A376" s="95" t="s">
        <v>104</v>
      </c>
      <c r="B376" s="5" t="s">
        <v>85</v>
      </c>
      <c r="C376" s="12"/>
      <c r="D376" s="24"/>
      <c r="E376" s="12"/>
      <c r="F376" s="12"/>
      <c r="G376" s="12"/>
      <c r="H376" s="11"/>
      <c r="I376" s="11"/>
      <c r="J376" s="11"/>
      <c r="K376" s="11"/>
      <c r="L376" s="11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  <c r="CB376" s="3"/>
      <c r="CC376" s="3"/>
      <c r="CD376" s="3"/>
      <c r="CE376" s="3"/>
      <c r="CF376" s="3"/>
      <c r="CG376" s="3"/>
      <c r="CH376" s="3"/>
      <c r="CI376" s="3"/>
      <c r="CJ376" s="3"/>
      <c r="CK376" s="3"/>
      <c r="CL376" s="3"/>
      <c r="CM376" s="3"/>
      <c r="CN376" s="3"/>
      <c r="CO376" s="3"/>
      <c r="CP376" s="3"/>
      <c r="CQ376" s="3"/>
      <c r="CR376" s="3"/>
      <c r="CS376" s="3"/>
      <c r="CT376" s="3"/>
      <c r="CU376" s="3"/>
      <c r="CV376" s="3"/>
      <c r="CW376" s="3"/>
      <c r="CX376" s="3"/>
      <c r="CY376" s="3"/>
      <c r="CZ376" s="3"/>
      <c r="DA376" s="3"/>
      <c r="DB376" s="3"/>
      <c r="DC376" s="3"/>
      <c r="DD376" s="3"/>
      <c r="DE376" s="3"/>
      <c r="DF376" s="3"/>
      <c r="DG376" s="3"/>
      <c r="DH376" s="3"/>
      <c r="DI376" s="3"/>
      <c r="DJ376" s="3"/>
      <c r="DK376" s="3"/>
      <c r="DL376" s="3"/>
      <c r="DM376" s="3"/>
      <c r="DN376" s="3"/>
      <c r="DO376" s="3"/>
      <c r="DP376" s="3"/>
      <c r="DQ376" s="3"/>
      <c r="DR376" s="3"/>
      <c r="DS376" s="3"/>
      <c r="DT376" s="3"/>
      <c r="DU376" s="3"/>
      <c r="DV376" s="3"/>
      <c r="DW376" s="3"/>
      <c r="DX376" s="3"/>
      <c r="DY376" s="3"/>
      <c r="DZ376" s="3"/>
      <c r="EA376" s="3"/>
      <c r="EB376" s="3"/>
      <c r="EC376" s="3"/>
      <c r="ED376" s="3"/>
      <c r="EE376" s="3"/>
      <c r="EF376" s="3"/>
      <c r="EG376" s="3"/>
      <c r="EH376" s="3"/>
      <c r="EI376" s="3"/>
      <c r="EJ376" s="3"/>
      <c r="EK376" s="3"/>
      <c r="EL376" s="3"/>
      <c r="EM376" s="3"/>
      <c r="EN376" s="3"/>
      <c r="EO376" s="3"/>
      <c r="EP376" s="3"/>
      <c r="EQ376" s="3"/>
      <c r="ER376" s="3"/>
      <c r="ES376" s="3"/>
      <c r="ET376" s="3"/>
      <c r="EU376" s="3"/>
      <c r="EV376" s="3"/>
      <c r="EW376" s="3"/>
      <c r="EX376" s="3"/>
      <c r="EY376" s="3"/>
      <c r="EZ376" s="3"/>
      <c r="FA376" s="3"/>
      <c r="FB376" s="3"/>
      <c r="FC376" s="3"/>
      <c r="FD376" s="3"/>
      <c r="FE376" s="3"/>
      <c r="FF376" s="3"/>
      <c r="FG376" s="3"/>
      <c r="FH376" s="3"/>
      <c r="FI376" s="3"/>
      <c r="FJ376" s="3"/>
      <c r="FK376" s="3"/>
      <c r="FL376" s="3"/>
      <c r="FM376" s="3"/>
      <c r="FN376" s="3"/>
      <c r="FO376" s="3"/>
      <c r="FP376" s="3"/>
      <c r="FQ376" s="3"/>
      <c r="FR376" s="3"/>
      <c r="FS376" s="3"/>
      <c r="FT376" s="3"/>
      <c r="FU376" s="3"/>
      <c r="FV376" s="3"/>
      <c r="FW376" s="3"/>
      <c r="FX376" s="3"/>
      <c r="FY376" s="3"/>
      <c r="FZ376" s="3"/>
      <c r="GA376" s="3"/>
      <c r="GB376" s="3"/>
      <c r="GC376" s="3"/>
      <c r="GD376" s="3"/>
      <c r="GE376" s="3"/>
      <c r="GF376" s="3"/>
      <c r="GG376" s="3"/>
      <c r="GH376" s="3"/>
      <c r="GI376" s="3"/>
      <c r="GJ376" s="3"/>
      <c r="GK376" s="3"/>
      <c r="GL376" s="3"/>
      <c r="GM376" s="3"/>
      <c r="GN376" s="3"/>
      <c r="GO376" s="3"/>
      <c r="GP376" s="3"/>
      <c r="GQ376" s="3"/>
      <c r="GR376" s="3"/>
      <c r="GS376" s="3"/>
      <c r="GT376" s="3"/>
      <c r="GU376" s="3"/>
      <c r="GV376" s="3"/>
      <c r="GW376" s="3"/>
      <c r="GX376" s="3"/>
      <c r="GY376" s="3"/>
      <c r="GZ376" s="3"/>
      <c r="HA376" s="3"/>
      <c r="HB376" s="3"/>
      <c r="HC376" s="3"/>
      <c r="HD376" s="3"/>
      <c r="HE376" s="3"/>
      <c r="HF376" s="3"/>
      <c r="HG376" s="3"/>
      <c r="HH376" s="3"/>
      <c r="HI376" s="3"/>
      <c r="HJ376" s="3"/>
      <c r="HK376" s="3"/>
      <c r="HL376" s="3"/>
      <c r="HM376" s="3"/>
      <c r="HN376" s="3"/>
      <c r="HO376" s="3"/>
      <c r="HP376" s="3"/>
      <c r="HQ376" s="3"/>
      <c r="HR376" s="3"/>
      <c r="HS376" s="3"/>
      <c r="HT376" s="3"/>
      <c r="HU376" s="3"/>
      <c r="HV376" s="3"/>
      <c r="HW376" s="3"/>
      <c r="HX376" s="3"/>
      <c r="HY376" s="3"/>
      <c r="HZ376" s="3"/>
      <c r="IA376" s="3"/>
      <c r="IB376" s="3"/>
      <c r="IC376" s="3"/>
      <c r="ID376" s="3"/>
      <c r="IE376" s="3"/>
      <c r="IF376" s="3"/>
      <c r="IG376" s="3"/>
      <c r="IH376" s="3"/>
      <c r="II376" s="3"/>
      <c r="IJ376" s="3"/>
    </row>
    <row r="377" spans="1:244" s="43" customFormat="1" ht="13" x14ac:dyDescent="0.25">
      <c r="A377" s="95"/>
      <c r="B377" s="5"/>
      <c r="C377" s="12"/>
      <c r="D377" s="24"/>
      <c r="E377" s="12"/>
      <c r="F377" s="12"/>
      <c r="G377" s="12"/>
      <c r="H377" s="11"/>
      <c r="I377" s="11"/>
      <c r="J377" s="11"/>
      <c r="K377" s="11"/>
      <c r="L377" s="11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  <c r="CB377" s="3"/>
      <c r="CC377" s="3"/>
      <c r="CD377" s="3"/>
      <c r="CE377" s="3"/>
      <c r="CF377" s="3"/>
      <c r="CG377" s="3"/>
      <c r="CH377" s="3"/>
      <c r="CI377" s="3"/>
      <c r="CJ377" s="3"/>
      <c r="CK377" s="3"/>
      <c r="CL377" s="3"/>
      <c r="CM377" s="3"/>
      <c r="CN377" s="3"/>
      <c r="CO377" s="3"/>
      <c r="CP377" s="3"/>
      <c r="CQ377" s="3"/>
      <c r="CR377" s="3"/>
      <c r="CS377" s="3"/>
      <c r="CT377" s="3"/>
      <c r="CU377" s="3"/>
      <c r="CV377" s="3"/>
      <c r="CW377" s="3"/>
      <c r="CX377" s="3"/>
      <c r="CY377" s="3"/>
      <c r="CZ377" s="3"/>
      <c r="DA377" s="3"/>
      <c r="DB377" s="3"/>
      <c r="DC377" s="3"/>
      <c r="DD377" s="3"/>
      <c r="DE377" s="3"/>
      <c r="DF377" s="3"/>
      <c r="DG377" s="3"/>
      <c r="DH377" s="3"/>
      <c r="DI377" s="3"/>
      <c r="DJ377" s="3"/>
      <c r="DK377" s="3"/>
      <c r="DL377" s="3"/>
      <c r="DM377" s="3"/>
      <c r="DN377" s="3"/>
      <c r="DO377" s="3"/>
      <c r="DP377" s="3"/>
      <c r="DQ377" s="3"/>
      <c r="DR377" s="3"/>
      <c r="DS377" s="3"/>
      <c r="DT377" s="3"/>
      <c r="DU377" s="3"/>
      <c r="DV377" s="3"/>
      <c r="DW377" s="3"/>
      <c r="DX377" s="3"/>
      <c r="DY377" s="3"/>
      <c r="DZ377" s="3"/>
      <c r="EA377" s="3"/>
      <c r="EB377" s="3"/>
      <c r="EC377" s="3"/>
      <c r="ED377" s="3"/>
      <c r="EE377" s="3"/>
      <c r="EF377" s="3"/>
      <c r="EG377" s="3"/>
      <c r="EH377" s="3"/>
      <c r="EI377" s="3"/>
      <c r="EJ377" s="3"/>
      <c r="EK377" s="3"/>
      <c r="EL377" s="3"/>
      <c r="EM377" s="3"/>
      <c r="EN377" s="3"/>
      <c r="EO377" s="3"/>
      <c r="EP377" s="3"/>
      <c r="EQ377" s="3"/>
      <c r="ER377" s="3"/>
      <c r="ES377" s="3"/>
      <c r="ET377" s="3"/>
      <c r="EU377" s="3"/>
      <c r="EV377" s="3"/>
      <c r="EW377" s="3"/>
      <c r="EX377" s="3"/>
      <c r="EY377" s="3"/>
      <c r="EZ377" s="3"/>
      <c r="FA377" s="3"/>
      <c r="FB377" s="3"/>
      <c r="FC377" s="3"/>
      <c r="FD377" s="3"/>
      <c r="FE377" s="3"/>
      <c r="FF377" s="3"/>
      <c r="FG377" s="3"/>
      <c r="FH377" s="3"/>
      <c r="FI377" s="3"/>
      <c r="FJ377" s="3"/>
      <c r="FK377" s="3"/>
      <c r="FL377" s="3"/>
      <c r="FM377" s="3"/>
      <c r="FN377" s="3"/>
      <c r="FO377" s="3"/>
      <c r="FP377" s="3"/>
      <c r="FQ377" s="3"/>
      <c r="FR377" s="3"/>
      <c r="FS377" s="3"/>
      <c r="FT377" s="3"/>
      <c r="FU377" s="3"/>
      <c r="FV377" s="3"/>
      <c r="FW377" s="3"/>
      <c r="FX377" s="3"/>
      <c r="FY377" s="3"/>
      <c r="FZ377" s="3"/>
      <c r="GA377" s="3"/>
      <c r="GB377" s="3"/>
      <c r="GC377" s="3"/>
      <c r="GD377" s="3"/>
      <c r="GE377" s="3"/>
      <c r="GF377" s="3"/>
      <c r="GG377" s="3"/>
      <c r="GH377" s="3"/>
      <c r="GI377" s="3"/>
      <c r="GJ377" s="3"/>
      <c r="GK377" s="3"/>
      <c r="GL377" s="3"/>
      <c r="GM377" s="3"/>
      <c r="GN377" s="3"/>
      <c r="GO377" s="3"/>
      <c r="GP377" s="3"/>
      <c r="GQ377" s="3"/>
      <c r="GR377" s="3"/>
      <c r="GS377" s="3"/>
      <c r="GT377" s="3"/>
      <c r="GU377" s="3"/>
      <c r="GV377" s="3"/>
      <c r="GW377" s="3"/>
      <c r="GX377" s="3"/>
      <c r="GY377" s="3"/>
      <c r="GZ377" s="3"/>
      <c r="HA377" s="3"/>
      <c r="HB377" s="3"/>
      <c r="HC377" s="3"/>
      <c r="HD377" s="3"/>
      <c r="HE377" s="3"/>
      <c r="HF377" s="3"/>
      <c r="HG377" s="3"/>
      <c r="HH377" s="3"/>
      <c r="HI377" s="3"/>
      <c r="HJ377" s="3"/>
      <c r="HK377" s="3"/>
      <c r="HL377" s="3"/>
      <c r="HM377" s="3"/>
      <c r="HN377" s="3"/>
      <c r="HO377" s="3"/>
      <c r="HP377" s="3"/>
      <c r="HQ377" s="3"/>
      <c r="HR377" s="3"/>
      <c r="HS377" s="3"/>
      <c r="HT377" s="3"/>
      <c r="HU377" s="3"/>
      <c r="HV377" s="3"/>
      <c r="HW377" s="3"/>
      <c r="HX377" s="3"/>
      <c r="HY377" s="3"/>
      <c r="HZ377" s="3"/>
      <c r="IA377" s="3"/>
      <c r="IB377" s="3"/>
      <c r="IC377" s="3"/>
      <c r="ID377" s="3"/>
      <c r="IE377" s="3"/>
      <c r="IF377" s="3"/>
      <c r="IG377" s="3"/>
      <c r="IH377" s="3"/>
      <c r="II377" s="3"/>
      <c r="IJ377" s="3"/>
    </row>
    <row r="378" spans="1:244" s="43" customFormat="1" ht="300" customHeight="1" x14ac:dyDescent="0.25">
      <c r="A378" s="95"/>
      <c r="B378" s="111" t="s">
        <v>313</v>
      </c>
      <c r="C378" s="111"/>
      <c r="D378" s="111"/>
      <c r="E378" s="111"/>
      <c r="F378" s="12"/>
      <c r="G378" s="12"/>
      <c r="H378" s="11"/>
      <c r="I378" s="11"/>
      <c r="J378" s="11"/>
      <c r="K378" s="11"/>
      <c r="L378" s="11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  <c r="CG378" s="3"/>
      <c r="CH378" s="3"/>
      <c r="CI378" s="3"/>
      <c r="CJ378" s="3"/>
      <c r="CK378" s="3"/>
      <c r="CL378" s="3"/>
      <c r="CM378" s="3"/>
      <c r="CN378" s="3"/>
      <c r="CO378" s="3"/>
      <c r="CP378" s="3"/>
      <c r="CQ378" s="3"/>
      <c r="CR378" s="3"/>
      <c r="CS378" s="3"/>
      <c r="CT378" s="3"/>
      <c r="CU378" s="3"/>
      <c r="CV378" s="3"/>
      <c r="CW378" s="3"/>
      <c r="CX378" s="3"/>
      <c r="CY378" s="3"/>
      <c r="CZ378" s="3"/>
      <c r="DA378" s="3"/>
      <c r="DB378" s="3"/>
      <c r="DC378" s="3"/>
      <c r="DD378" s="3"/>
      <c r="DE378" s="3"/>
      <c r="DF378" s="3"/>
      <c r="DG378" s="3"/>
      <c r="DH378" s="3"/>
      <c r="DI378" s="3"/>
      <c r="DJ378" s="3"/>
      <c r="DK378" s="3"/>
      <c r="DL378" s="3"/>
      <c r="DM378" s="3"/>
      <c r="DN378" s="3"/>
      <c r="DO378" s="3"/>
      <c r="DP378" s="3"/>
      <c r="DQ378" s="3"/>
      <c r="DR378" s="3"/>
      <c r="DS378" s="3"/>
      <c r="DT378" s="3"/>
      <c r="DU378" s="3"/>
      <c r="DV378" s="3"/>
      <c r="DW378" s="3"/>
      <c r="DX378" s="3"/>
      <c r="DY378" s="3"/>
      <c r="DZ378" s="3"/>
      <c r="EA378" s="3"/>
      <c r="EB378" s="3"/>
      <c r="EC378" s="3"/>
      <c r="ED378" s="3"/>
      <c r="EE378" s="3"/>
      <c r="EF378" s="3"/>
      <c r="EG378" s="3"/>
      <c r="EH378" s="3"/>
      <c r="EI378" s="3"/>
      <c r="EJ378" s="3"/>
      <c r="EK378" s="3"/>
      <c r="EL378" s="3"/>
      <c r="EM378" s="3"/>
      <c r="EN378" s="3"/>
      <c r="EO378" s="3"/>
      <c r="EP378" s="3"/>
      <c r="EQ378" s="3"/>
      <c r="ER378" s="3"/>
      <c r="ES378" s="3"/>
      <c r="ET378" s="3"/>
      <c r="EU378" s="3"/>
      <c r="EV378" s="3"/>
      <c r="EW378" s="3"/>
      <c r="EX378" s="3"/>
      <c r="EY378" s="3"/>
      <c r="EZ378" s="3"/>
      <c r="FA378" s="3"/>
      <c r="FB378" s="3"/>
      <c r="FC378" s="3"/>
      <c r="FD378" s="3"/>
      <c r="FE378" s="3"/>
      <c r="FF378" s="3"/>
      <c r="FG378" s="3"/>
      <c r="FH378" s="3"/>
      <c r="FI378" s="3"/>
      <c r="FJ378" s="3"/>
      <c r="FK378" s="3"/>
      <c r="FL378" s="3"/>
      <c r="FM378" s="3"/>
      <c r="FN378" s="3"/>
      <c r="FO378" s="3"/>
      <c r="FP378" s="3"/>
      <c r="FQ378" s="3"/>
      <c r="FR378" s="3"/>
      <c r="FS378" s="3"/>
      <c r="FT378" s="3"/>
      <c r="FU378" s="3"/>
      <c r="FV378" s="3"/>
      <c r="FW378" s="3"/>
      <c r="FX378" s="3"/>
      <c r="FY378" s="3"/>
      <c r="FZ378" s="3"/>
      <c r="GA378" s="3"/>
      <c r="GB378" s="3"/>
      <c r="GC378" s="3"/>
      <c r="GD378" s="3"/>
      <c r="GE378" s="3"/>
      <c r="GF378" s="3"/>
      <c r="GG378" s="3"/>
      <c r="GH378" s="3"/>
      <c r="GI378" s="3"/>
      <c r="GJ378" s="3"/>
      <c r="GK378" s="3"/>
      <c r="GL378" s="3"/>
      <c r="GM378" s="3"/>
      <c r="GN378" s="3"/>
      <c r="GO378" s="3"/>
      <c r="GP378" s="3"/>
      <c r="GQ378" s="3"/>
      <c r="GR378" s="3"/>
      <c r="GS378" s="3"/>
      <c r="GT378" s="3"/>
      <c r="GU378" s="3"/>
      <c r="GV378" s="3"/>
      <c r="GW378" s="3"/>
      <c r="GX378" s="3"/>
      <c r="GY378" s="3"/>
      <c r="GZ378" s="3"/>
      <c r="HA378" s="3"/>
      <c r="HB378" s="3"/>
      <c r="HC378" s="3"/>
      <c r="HD378" s="3"/>
      <c r="HE378" s="3"/>
      <c r="HF378" s="3"/>
      <c r="HG378" s="3"/>
      <c r="HH378" s="3"/>
      <c r="HI378" s="3"/>
      <c r="HJ378" s="3"/>
      <c r="HK378" s="3"/>
      <c r="HL378" s="3"/>
      <c r="HM378" s="3"/>
      <c r="HN378" s="3"/>
      <c r="HO378" s="3"/>
      <c r="HP378" s="3"/>
      <c r="HQ378" s="3"/>
      <c r="HR378" s="3"/>
      <c r="HS378" s="3"/>
      <c r="HT378" s="3"/>
      <c r="HU378" s="3"/>
      <c r="HV378" s="3"/>
      <c r="HW378" s="3"/>
      <c r="HX378" s="3"/>
      <c r="HY378" s="3"/>
      <c r="HZ378" s="3"/>
      <c r="IA378" s="3"/>
      <c r="IB378" s="3"/>
      <c r="IC378" s="3"/>
      <c r="ID378" s="3"/>
      <c r="IE378" s="3"/>
      <c r="IF378" s="3"/>
      <c r="IG378" s="3"/>
      <c r="IH378" s="3"/>
      <c r="II378" s="3"/>
      <c r="IJ378" s="3"/>
    </row>
    <row r="379" spans="1:244" s="43" customFormat="1" ht="13" x14ac:dyDescent="0.25">
      <c r="A379" s="95"/>
      <c r="B379" s="8"/>
      <c r="C379" s="8"/>
      <c r="D379" s="8"/>
      <c r="E379" s="8"/>
      <c r="F379" s="12"/>
      <c r="G379" s="12"/>
      <c r="H379" s="11"/>
      <c r="I379" s="11"/>
      <c r="J379" s="11"/>
      <c r="K379" s="11"/>
      <c r="L379" s="11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  <c r="CB379" s="3"/>
      <c r="CC379" s="3"/>
      <c r="CD379" s="3"/>
      <c r="CE379" s="3"/>
      <c r="CF379" s="3"/>
      <c r="CG379" s="3"/>
      <c r="CH379" s="3"/>
      <c r="CI379" s="3"/>
      <c r="CJ379" s="3"/>
      <c r="CK379" s="3"/>
      <c r="CL379" s="3"/>
      <c r="CM379" s="3"/>
      <c r="CN379" s="3"/>
      <c r="CO379" s="3"/>
      <c r="CP379" s="3"/>
      <c r="CQ379" s="3"/>
      <c r="CR379" s="3"/>
      <c r="CS379" s="3"/>
      <c r="CT379" s="3"/>
      <c r="CU379" s="3"/>
      <c r="CV379" s="3"/>
      <c r="CW379" s="3"/>
      <c r="CX379" s="3"/>
      <c r="CY379" s="3"/>
      <c r="CZ379" s="3"/>
      <c r="DA379" s="3"/>
      <c r="DB379" s="3"/>
      <c r="DC379" s="3"/>
      <c r="DD379" s="3"/>
      <c r="DE379" s="3"/>
      <c r="DF379" s="3"/>
      <c r="DG379" s="3"/>
      <c r="DH379" s="3"/>
      <c r="DI379" s="3"/>
      <c r="DJ379" s="3"/>
      <c r="DK379" s="3"/>
      <c r="DL379" s="3"/>
      <c r="DM379" s="3"/>
      <c r="DN379" s="3"/>
      <c r="DO379" s="3"/>
      <c r="DP379" s="3"/>
      <c r="DQ379" s="3"/>
      <c r="DR379" s="3"/>
      <c r="DS379" s="3"/>
      <c r="DT379" s="3"/>
      <c r="DU379" s="3"/>
      <c r="DV379" s="3"/>
      <c r="DW379" s="3"/>
      <c r="DX379" s="3"/>
      <c r="DY379" s="3"/>
      <c r="DZ379" s="3"/>
      <c r="EA379" s="3"/>
      <c r="EB379" s="3"/>
      <c r="EC379" s="3"/>
      <c r="ED379" s="3"/>
      <c r="EE379" s="3"/>
      <c r="EF379" s="3"/>
      <c r="EG379" s="3"/>
      <c r="EH379" s="3"/>
      <c r="EI379" s="3"/>
      <c r="EJ379" s="3"/>
      <c r="EK379" s="3"/>
      <c r="EL379" s="3"/>
      <c r="EM379" s="3"/>
      <c r="EN379" s="3"/>
      <c r="EO379" s="3"/>
      <c r="EP379" s="3"/>
      <c r="EQ379" s="3"/>
      <c r="ER379" s="3"/>
      <c r="ES379" s="3"/>
      <c r="ET379" s="3"/>
      <c r="EU379" s="3"/>
      <c r="EV379" s="3"/>
      <c r="EW379" s="3"/>
      <c r="EX379" s="3"/>
      <c r="EY379" s="3"/>
      <c r="EZ379" s="3"/>
      <c r="FA379" s="3"/>
      <c r="FB379" s="3"/>
      <c r="FC379" s="3"/>
      <c r="FD379" s="3"/>
      <c r="FE379" s="3"/>
      <c r="FF379" s="3"/>
      <c r="FG379" s="3"/>
      <c r="FH379" s="3"/>
      <c r="FI379" s="3"/>
      <c r="FJ379" s="3"/>
      <c r="FK379" s="3"/>
      <c r="FL379" s="3"/>
      <c r="FM379" s="3"/>
      <c r="FN379" s="3"/>
      <c r="FO379" s="3"/>
      <c r="FP379" s="3"/>
      <c r="FQ379" s="3"/>
      <c r="FR379" s="3"/>
      <c r="FS379" s="3"/>
      <c r="FT379" s="3"/>
      <c r="FU379" s="3"/>
      <c r="FV379" s="3"/>
      <c r="FW379" s="3"/>
      <c r="FX379" s="3"/>
      <c r="FY379" s="3"/>
      <c r="FZ379" s="3"/>
      <c r="GA379" s="3"/>
      <c r="GB379" s="3"/>
      <c r="GC379" s="3"/>
      <c r="GD379" s="3"/>
      <c r="GE379" s="3"/>
      <c r="GF379" s="3"/>
      <c r="GG379" s="3"/>
      <c r="GH379" s="3"/>
      <c r="GI379" s="3"/>
      <c r="GJ379" s="3"/>
      <c r="GK379" s="3"/>
      <c r="GL379" s="3"/>
      <c r="GM379" s="3"/>
      <c r="GN379" s="3"/>
      <c r="GO379" s="3"/>
      <c r="GP379" s="3"/>
      <c r="GQ379" s="3"/>
      <c r="GR379" s="3"/>
      <c r="GS379" s="3"/>
      <c r="GT379" s="3"/>
      <c r="GU379" s="3"/>
      <c r="GV379" s="3"/>
      <c r="GW379" s="3"/>
      <c r="GX379" s="3"/>
      <c r="GY379" s="3"/>
      <c r="GZ379" s="3"/>
      <c r="HA379" s="3"/>
      <c r="HB379" s="3"/>
      <c r="HC379" s="3"/>
      <c r="HD379" s="3"/>
      <c r="HE379" s="3"/>
      <c r="HF379" s="3"/>
      <c r="HG379" s="3"/>
      <c r="HH379" s="3"/>
      <c r="HI379" s="3"/>
      <c r="HJ379" s="3"/>
      <c r="HK379" s="3"/>
      <c r="HL379" s="3"/>
      <c r="HM379" s="3"/>
      <c r="HN379" s="3"/>
      <c r="HO379" s="3"/>
      <c r="HP379" s="3"/>
      <c r="HQ379" s="3"/>
      <c r="HR379" s="3"/>
      <c r="HS379" s="3"/>
      <c r="HT379" s="3"/>
      <c r="HU379" s="3"/>
      <c r="HV379" s="3"/>
      <c r="HW379" s="3"/>
      <c r="HX379" s="3"/>
      <c r="HY379" s="3"/>
      <c r="HZ379" s="3"/>
      <c r="IA379" s="3"/>
      <c r="IB379" s="3"/>
      <c r="IC379" s="3"/>
      <c r="ID379" s="3"/>
      <c r="IE379" s="3"/>
      <c r="IF379" s="3"/>
      <c r="IG379" s="3"/>
      <c r="IH379" s="3"/>
      <c r="II379" s="3"/>
      <c r="IJ379" s="3"/>
    </row>
    <row r="380" spans="1:244" s="81" customFormat="1" ht="50" x14ac:dyDescent="0.25">
      <c r="A380" s="54"/>
      <c r="B380" s="44" t="s">
        <v>331</v>
      </c>
      <c r="C380" s="41" t="s">
        <v>76</v>
      </c>
      <c r="D380" s="55">
        <f>CEILING(1*2*1.1*(PI()*(1600+2*19)*(2880+2*19)+2*PI()*((1600+2*19)^2)/4)/1000000,1)</f>
        <v>43</v>
      </c>
      <c r="E380" s="43"/>
      <c r="F380" s="41"/>
      <c r="G380" s="41" t="s">
        <v>76</v>
      </c>
      <c r="H380" s="41">
        <v>0</v>
      </c>
      <c r="I380" s="41">
        <v>0</v>
      </c>
      <c r="J380" s="41">
        <f>CEILING($D380*H380,10)</f>
        <v>0</v>
      </c>
      <c r="K380" s="41">
        <f>CEILING($D380*I380,10)</f>
        <v>0</v>
      </c>
      <c r="L380" s="41">
        <f>J380+K380</f>
        <v>0</v>
      </c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  <c r="AD380" s="43"/>
      <c r="AE380" s="43"/>
      <c r="AF380" s="43"/>
      <c r="AG380" s="43"/>
      <c r="AH380" s="43"/>
      <c r="AI380" s="43"/>
      <c r="AJ380" s="43"/>
      <c r="AK380" s="43"/>
      <c r="AL380" s="43"/>
      <c r="AM380" s="43"/>
      <c r="AN380" s="43"/>
      <c r="AO380" s="43"/>
      <c r="AP380" s="43"/>
      <c r="AQ380" s="43"/>
      <c r="AR380" s="43"/>
      <c r="AS380" s="43"/>
      <c r="AT380" s="43"/>
      <c r="AU380" s="43"/>
      <c r="AV380" s="43"/>
      <c r="AW380" s="43"/>
      <c r="AX380" s="43"/>
      <c r="AY380" s="43"/>
      <c r="AZ380" s="43"/>
      <c r="BA380" s="43"/>
      <c r="BB380" s="43"/>
      <c r="BC380" s="43"/>
      <c r="BD380" s="43"/>
      <c r="BE380" s="43"/>
      <c r="BF380" s="43"/>
      <c r="BG380" s="43"/>
      <c r="BH380" s="43"/>
      <c r="BI380" s="43"/>
      <c r="BJ380" s="43"/>
      <c r="BK380" s="43"/>
      <c r="BL380" s="43"/>
      <c r="BM380" s="43"/>
      <c r="BN380" s="43"/>
      <c r="BO380" s="43"/>
      <c r="BP380" s="43"/>
      <c r="BQ380" s="43"/>
      <c r="BR380" s="43"/>
      <c r="BS380" s="43"/>
      <c r="BT380" s="43"/>
      <c r="BU380" s="43"/>
      <c r="BV380" s="43"/>
      <c r="BW380" s="43"/>
      <c r="BX380" s="43"/>
      <c r="BY380" s="43"/>
      <c r="BZ380" s="43"/>
      <c r="CA380" s="43"/>
      <c r="CB380" s="43"/>
      <c r="CC380" s="43"/>
      <c r="CD380" s="43"/>
      <c r="CE380" s="43"/>
      <c r="CF380" s="43"/>
      <c r="CG380" s="43"/>
      <c r="CH380" s="43"/>
      <c r="CI380" s="43"/>
      <c r="CJ380" s="43"/>
      <c r="CK380" s="43"/>
      <c r="CL380" s="43"/>
      <c r="CM380" s="43"/>
      <c r="CN380" s="43"/>
      <c r="CO380" s="43"/>
      <c r="CP380" s="43"/>
      <c r="CQ380" s="43"/>
      <c r="CR380" s="43"/>
      <c r="CS380" s="43"/>
      <c r="CT380" s="43"/>
      <c r="CU380" s="43"/>
      <c r="CV380" s="43"/>
      <c r="CW380" s="43"/>
      <c r="CX380" s="43"/>
      <c r="CY380" s="43"/>
      <c r="CZ380" s="43"/>
      <c r="DA380" s="43"/>
      <c r="DB380" s="43"/>
      <c r="DC380" s="43"/>
      <c r="DD380" s="43"/>
      <c r="DE380" s="43"/>
      <c r="DF380" s="43"/>
      <c r="DG380" s="43"/>
      <c r="DH380" s="43"/>
      <c r="DI380" s="43"/>
      <c r="DJ380" s="43"/>
      <c r="DK380" s="43"/>
      <c r="DL380" s="43"/>
      <c r="DM380" s="43"/>
      <c r="DN380" s="43"/>
      <c r="DO380" s="43"/>
      <c r="DP380" s="43"/>
      <c r="DQ380" s="43"/>
      <c r="DR380" s="43"/>
      <c r="DS380" s="43"/>
      <c r="DT380" s="43"/>
      <c r="DU380" s="43"/>
      <c r="DV380" s="43"/>
      <c r="DW380" s="43"/>
      <c r="DX380" s="43"/>
      <c r="DY380" s="43"/>
      <c r="DZ380" s="43"/>
      <c r="EA380" s="43"/>
      <c r="EB380" s="43"/>
      <c r="EC380" s="43"/>
      <c r="ED380" s="43"/>
      <c r="EE380" s="43"/>
      <c r="EF380" s="43"/>
      <c r="EG380" s="43"/>
      <c r="EH380" s="43"/>
      <c r="EI380" s="43"/>
      <c r="EJ380" s="43"/>
      <c r="EK380" s="43"/>
      <c r="EL380" s="43"/>
      <c r="EM380" s="43"/>
      <c r="EN380" s="43"/>
      <c r="EO380" s="43"/>
      <c r="EP380" s="43"/>
      <c r="EQ380" s="43"/>
      <c r="ER380" s="43"/>
      <c r="ES380" s="43"/>
      <c r="ET380" s="43"/>
      <c r="EU380" s="43"/>
      <c r="EV380" s="43"/>
      <c r="EW380" s="43"/>
      <c r="EX380" s="43"/>
      <c r="EY380" s="43"/>
      <c r="EZ380" s="43"/>
      <c r="FA380" s="43"/>
      <c r="FB380" s="43"/>
      <c r="FC380" s="43"/>
      <c r="FD380" s="43"/>
      <c r="FE380" s="43"/>
      <c r="FF380" s="43"/>
      <c r="FG380" s="43"/>
      <c r="FH380" s="43"/>
      <c r="FI380" s="43"/>
      <c r="FJ380" s="43"/>
      <c r="FK380" s="43"/>
      <c r="FL380" s="43"/>
      <c r="FM380" s="43"/>
      <c r="FN380" s="43"/>
      <c r="FO380" s="43"/>
      <c r="FP380" s="43"/>
      <c r="FQ380" s="43"/>
      <c r="FR380" s="43"/>
      <c r="FS380" s="43"/>
      <c r="FT380" s="43"/>
      <c r="FU380" s="43"/>
      <c r="FV380" s="43"/>
      <c r="FW380" s="43"/>
      <c r="FX380" s="43"/>
      <c r="FY380" s="43"/>
      <c r="FZ380" s="43"/>
      <c r="GA380" s="43"/>
      <c r="GB380" s="43"/>
      <c r="GC380" s="43"/>
      <c r="GD380" s="43"/>
      <c r="GE380" s="43"/>
      <c r="GF380" s="43"/>
      <c r="GG380" s="43"/>
      <c r="GH380" s="43"/>
      <c r="GI380" s="43"/>
      <c r="GJ380" s="43"/>
      <c r="GK380" s="43"/>
      <c r="GL380" s="43"/>
      <c r="GM380" s="43"/>
      <c r="GN380" s="43"/>
      <c r="GO380" s="43"/>
      <c r="GP380" s="43"/>
      <c r="GQ380" s="43"/>
      <c r="GR380" s="43"/>
      <c r="GS380" s="43"/>
      <c r="GT380" s="43"/>
      <c r="GU380" s="43"/>
      <c r="GV380" s="43"/>
      <c r="GW380" s="43"/>
      <c r="GX380" s="43"/>
      <c r="GY380" s="43"/>
      <c r="GZ380" s="43"/>
      <c r="HA380" s="43"/>
      <c r="HB380" s="43"/>
      <c r="HC380" s="43"/>
      <c r="HD380" s="43"/>
      <c r="HE380" s="43"/>
      <c r="HF380" s="43"/>
      <c r="HG380" s="43"/>
      <c r="HH380" s="43"/>
      <c r="HI380" s="43"/>
      <c r="HJ380" s="43"/>
      <c r="HK380" s="43"/>
      <c r="HL380" s="43"/>
      <c r="HM380" s="43"/>
      <c r="HN380" s="43"/>
      <c r="HO380" s="43"/>
      <c r="HP380" s="43"/>
      <c r="HQ380" s="43"/>
      <c r="HR380" s="43"/>
      <c r="HS380" s="43"/>
      <c r="HT380" s="43"/>
      <c r="HU380" s="43"/>
      <c r="HV380" s="43"/>
      <c r="HW380" s="43"/>
      <c r="HX380" s="43"/>
      <c r="HY380" s="43"/>
      <c r="HZ380" s="43"/>
      <c r="IA380" s="43"/>
      <c r="IB380" s="43"/>
      <c r="IC380" s="43"/>
      <c r="ID380" s="43"/>
      <c r="IE380" s="43"/>
      <c r="IF380" s="43"/>
      <c r="IG380" s="43"/>
      <c r="IH380" s="43"/>
      <c r="II380" s="43"/>
      <c r="IJ380" s="43"/>
    </row>
    <row r="382" spans="1:244" s="81" customFormat="1" ht="25" x14ac:dyDescent="0.25">
      <c r="A382" s="54"/>
      <c r="B382" s="40" t="s">
        <v>256</v>
      </c>
      <c r="C382" s="41" t="s">
        <v>89</v>
      </c>
      <c r="D382" s="55">
        <v>1</v>
      </c>
      <c r="E382" s="43"/>
      <c r="F382" s="41"/>
      <c r="G382" s="41" t="s">
        <v>89</v>
      </c>
      <c r="H382" s="41">
        <v>0</v>
      </c>
      <c r="I382" s="41">
        <v>0</v>
      </c>
      <c r="J382" s="41">
        <f>$D382*H382</f>
        <v>0</v>
      </c>
      <c r="K382" s="41">
        <f>CEILING($D382*I382,10)</f>
        <v>0</v>
      </c>
      <c r="L382" s="41">
        <f>J382+K382</f>
        <v>0</v>
      </c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  <c r="AC382" s="43"/>
      <c r="AD382" s="43"/>
      <c r="AE382" s="43"/>
      <c r="AF382" s="43"/>
      <c r="AG382" s="43"/>
      <c r="AH382" s="43"/>
      <c r="AI382" s="43"/>
      <c r="AJ382" s="43"/>
      <c r="AK382" s="43"/>
      <c r="AL382" s="43"/>
      <c r="AM382" s="43"/>
      <c r="AN382" s="43"/>
      <c r="AO382" s="43"/>
      <c r="AP382" s="43"/>
      <c r="AQ382" s="43"/>
      <c r="AR382" s="43"/>
      <c r="AS382" s="43"/>
      <c r="AT382" s="43"/>
      <c r="AU382" s="43"/>
      <c r="AV382" s="43"/>
      <c r="AW382" s="43"/>
      <c r="AX382" s="43"/>
      <c r="AY382" s="43"/>
      <c r="AZ382" s="43"/>
      <c r="BA382" s="43"/>
      <c r="BB382" s="43"/>
      <c r="BC382" s="43"/>
      <c r="BD382" s="43"/>
      <c r="BE382" s="43"/>
      <c r="BF382" s="43"/>
      <c r="BG382" s="43"/>
      <c r="BH382" s="43"/>
      <c r="BI382" s="43"/>
      <c r="BJ382" s="43"/>
      <c r="BK382" s="43"/>
      <c r="BL382" s="43"/>
      <c r="BM382" s="43"/>
      <c r="BN382" s="43"/>
      <c r="BO382" s="43"/>
      <c r="BP382" s="43"/>
      <c r="BQ382" s="43"/>
      <c r="BR382" s="43"/>
      <c r="BS382" s="43"/>
      <c r="BT382" s="43"/>
      <c r="BU382" s="43"/>
      <c r="BV382" s="43"/>
      <c r="BW382" s="43"/>
      <c r="BX382" s="43"/>
      <c r="BY382" s="43"/>
      <c r="BZ382" s="43"/>
      <c r="CA382" s="43"/>
      <c r="CB382" s="43"/>
      <c r="CC382" s="43"/>
      <c r="CD382" s="43"/>
      <c r="CE382" s="43"/>
      <c r="CF382" s="43"/>
      <c r="CG382" s="43"/>
      <c r="CH382" s="43"/>
      <c r="CI382" s="43"/>
      <c r="CJ382" s="43"/>
      <c r="CK382" s="43"/>
      <c r="CL382" s="43"/>
      <c r="CM382" s="43"/>
      <c r="CN382" s="43"/>
      <c r="CO382" s="43"/>
      <c r="CP382" s="43"/>
      <c r="CQ382" s="43"/>
      <c r="CR382" s="43"/>
      <c r="CS382" s="43"/>
      <c r="CT382" s="43"/>
      <c r="CU382" s="43"/>
      <c r="CV382" s="43"/>
      <c r="CW382" s="43"/>
      <c r="CX382" s="43"/>
      <c r="CY382" s="43"/>
      <c r="CZ382" s="43"/>
      <c r="DA382" s="43"/>
      <c r="DB382" s="43"/>
      <c r="DC382" s="43"/>
      <c r="DD382" s="43"/>
      <c r="DE382" s="43"/>
      <c r="DF382" s="43"/>
      <c r="DG382" s="43"/>
      <c r="DH382" s="43"/>
      <c r="DI382" s="43"/>
      <c r="DJ382" s="43"/>
      <c r="DK382" s="43"/>
      <c r="DL382" s="43"/>
      <c r="DM382" s="43"/>
      <c r="DN382" s="43"/>
      <c r="DO382" s="43"/>
      <c r="DP382" s="43"/>
      <c r="DQ382" s="43"/>
      <c r="DR382" s="43"/>
      <c r="DS382" s="43"/>
      <c r="DT382" s="43"/>
      <c r="DU382" s="43"/>
      <c r="DV382" s="43"/>
      <c r="DW382" s="43"/>
      <c r="DX382" s="43"/>
      <c r="DY382" s="43"/>
      <c r="DZ382" s="43"/>
      <c r="EA382" s="43"/>
      <c r="EB382" s="43"/>
      <c r="EC382" s="43"/>
      <c r="ED382" s="43"/>
      <c r="EE382" s="43"/>
      <c r="EF382" s="43"/>
      <c r="EG382" s="43"/>
      <c r="EH382" s="43"/>
      <c r="EI382" s="43"/>
      <c r="EJ382" s="43"/>
      <c r="EK382" s="43"/>
      <c r="EL382" s="43"/>
      <c r="EM382" s="43"/>
      <c r="EN382" s="43"/>
      <c r="EO382" s="43"/>
      <c r="EP382" s="43"/>
      <c r="EQ382" s="43"/>
      <c r="ER382" s="43"/>
      <c r="ES382" s="43"/>
      <c r="ET382" s="43"/>
      <c r="EU382" s="43"/>
      <c r="EV382" s="43"/>
      <c r="EW382" s="43"/>
      <c r="EX382" s="43"/>
      <c r="EY382" s="43"/>
      <c r="EZ382" s="43"/>
      <c r="FA382" s="43"/>
      <c r="FB382" s="43"/>
      <c r="FC382" s="43"/>
      <c r="FD382" s="43"/>
      <c r="FE382" s="43"/>
      <c r="FF382" s="43"/>
      <c r="FG382" s="43"/>
      <c r="FH382" s="43"/>
      <c r="FI382" s="43"/>
      <c r="FJ382" s="43"/>
      <c r="FK382" s="43"/>
      <c r="FL382" s="43"/>
      <c r="FM382" s="43"/>
      <c r="FN382" s="43"/>
      <c r="FO382" s="43"/>
      <c r="FP382" s="43"/>
      <c r="FQ382" s="43"/>
      <c r="FR382" s="43"/>
      <c r="FS382" s="43"/>
      <c r="FT382" s="43"/>
      <c r="FU382" s="43"/>
      <c r="FV382" s="43"/>
      <c r="FW382" s="43"/>
      <c r="FX382" s="43"/>
      <c r="FY382" s="43"/>
      <c r="FZ382" s="43"/>
      <c r="GA382" s="43"/>
      <c r="GB382" s="43"/>
      <c r="GC382" s="43"/>
      <c r="GD382" s="43"/>
      <c r="GE382" s="43"/>
      <c r="GF382" s="43"/>
      <c r="GG382" s="43"/>
      <c r="GH382" s="43"/>
      <c r="GI382" s="43"/>
      <c r="GJ382" s="43"/>
      <c r="GK382" s="43"/>
      <c r="GL382" s="43"/>
      <c r="GM382" s="43"/>
      <c r="GN382" s="43"/>
      <c r="GO382" s="43"/>
      <c r="GP382" s="43"/>
      <c r="GQ382" s="43"/>
      <c r="GR382" s="43"/>
      <c r="GS382" s="43"/>
      <c r="GT382" s="43"/>
      <c r="GU382" s="43"/>
      <c r="GV382" s="43"/>
      <c r="GW382" s="43"/>
      <c r="GX382" s="43"/>
      <c r="GY382" s="43"/>
      <c r="GZ382" s="43"/>
      <c r="HA382" s="43"/>
      <c r="HB382" s="43"/>
      <c r="HC382" s="43"/>
      <c r="HD382" s="43"/>
      <c r="HE382" s="43"/>
      <c r="HF382" s="43"/>
      <c r="HG382" s="43"/>
      <c r="HH382" s="43"/>
      <c r="HI382" s="43"/>
      <c r="HJ382" s="43"/>
      <c r="HK382" s="43"/>
      <c r="HL382" s="43"/>
      <c r="HM382" s="43"/>
      <c r="HN382" s="43"/>
      <c r="HO382" s="43"/>
      <c r="HP382" s="43"/>
      <c r="HQ382" s="43"/>
      <c r="HR382" s="43"/>
      <c r="HS382" s="43"/>
      <c r="HT382" s="43"/>
      <c r="HU382" s="43"/>
      <c r="HV382" s="43"/>
      <c r="HW382" s="43"/>
      <c r="HX382" s="43"/>
      <c r="HY382" s="43"/>
      <c r="HZ382" s="43"/>
      <c r="IA382" s="43"/>
      <c r="IB382" s="43"/>
      <c r="IC382" s="43"/>
      <c r="ID382" s="43"/>
      <c r="IE382" s="43"/>
      <c r="IF382" s="43"/>
      <c r="IG382" s="43"/>
      <c r="IH382" s="43"/>
      <c r="II382" s="43"/>
      <c r="IJ382" s="43"/>
    </row>
    <row r="383" spans="1:244" s="81" customFormat="1" ht="25" x14ac:dyDescent="0.25">
      <c r="A383" s="54"/>
      <c r="B383" s="40" t="s">
        <v>433</v>
      </c>
      <c r="C383" s="41" t="s">
        <v>76</v>
      </c>
      <c r="D383" s="55">
        <f>CEILING(1*1.1*(2*0.618*0.91+2*(0.618+0.91*0.296)),1)</f>
        <v>4</v>
      </c>
      <c r="E383" s="43"/>
      <c r="F383" s="41"/>
      <c r="G383" s="41" t="s">
        <v>89</v>
      </c>
      <c r="H383" s="41">
        <v>0</v>
      </c>
      <c r="I383" s="41">
        <v>0</v>
      </c>
      <c r="J383" s="41">
        <f>CEILING($D383*H383,10)</f>
        <v>0</v>
      </c>
      <c r="K383" s="41">
        <f>CEILING($D383*I383,10)</f>
        <v>0</v>
      </c>
      <c r="L383" s="41">
        <f>J383+K383</f>
        <v>0</v>
      </c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  <c r="AC383" s="43"/>
      <c r="AD383" s="43"/>
      <c r="AE383" s="43"/>
      <c r="AF383" s="43"/>
      <c r="AG383" s="43"/>
      <c r="AH383" s="43"/>
      <c r="AI383" s="43"/>
      <c r="AJ383" s="43"/>
      <c r="AK383" s="43"/>
      <c r="AL383" s="43"/>
      <c r="AM383" s="43"/>
      <c r="AN383" s="43"/>
      <c r="AO383" s="43"/>
      <c r="AP383" s="43"/>
      <c r="AQ383" s="43"/>
      <c r="AR383" s="43"/>
      <c r="AS383" s="43"/>
      <c r="AT383" s="43"/>
      <c r="AU383" s="43"/>
      <c r="AV383" s="43"/>
      <c r="AW383" s="43"/>
      <c r="AX383" s="43"/>
      <c r="AY383" s="43"/>
      <c r="AZ383" s="43"/>
      <c r="BA383" s="43"/>
      <c r="BB383" s="43"/>
      <c r="BC383" s="43"/>
      <c r="BD383" s="43"/>
      <c r="BE383" s="43"/>
      <c r="BF383" s="43"/>
      <c r="BG383" s="43"/>
      <c r="BH383" s="43"/>
      <c r="BI383" s="43"/>
      <c r="BJ383" s="43"/>
      <c r="BK383" s="43"/>
      <c r="BL383" s="43"/>
      <c r="BM383" s="43"/>
      <c r="BN383" s="43"/>
      <c r="BO383" s="43"/>
      <c r="BP383" s="43"/>
      <c r="BQ383" s="43"/>
      <c r="BR383" s="43"/>
      <c r="BS383" s="43"/>
      <c r="BT383" s="43"/>
      <c r="BU383" s="43"/>
      <c r="BV383" s="43"/>
      <c r="BW383" s="43"/>
      <c r="BX383" s="43"/>
      <c r="BY383" s="43"/>
      <c r="BZ383" s="43"/>
      <c r="CA383" s="43"/>
      <c r="CB383" s="43"/>
      <c r="CC383" s="43"/>
      <c r="CD383" s="43"/>
      <c r="CE383" s="43"/>
      <c r="CF383" s="43"/>
      <c r="CG383" s="43"/>
      <c r="CH383" s="43"/>
      <c r="CI383" s="43"/>
      <c r="CJ383" s="43"/>
      <c r="CK383" s="43"/>
      <c r="CL383" s="43"/>
      <c r="CM383" s="43"/>
      <c r="CN383" s="43"/>
      <c r="CO383" s="43"/>
      <c r="CP383" s="43"/>
      <c r="CQ383" s="43"/>
      <c r="CR383" s="43"/>
      <c r="CS383" s="43"/>
      <c r="CT383" s="43"/>
      <c r="CU383" s="43"/>
      <c r="CV383" s="43"/>
      <c r="CW383" s="43"/>
      <c r="CX383" s="43"/>
      <c r="CY383" s="43"/>
      <c r="CZ383" s="43"/>
      <c r="DA383" s="43"/>
      <c r="DB383" s="43"/>
      <c r="DC383" s="43"/>
      <c r="DD383" s="43"/>
      <c r="DE383" s="43"/>
      <c r="DF383" s="43"/>
      <c r="DG383" s="43"/>
      <c r="DH383" s="43"/>
      <c r="DI383" s="43"/>
      <c r="DJ383" s="43"/>
      <c r="DK383" s="43"/>
      <c r="DL383" s="43"/>
      <c r="DM383" s="43"/>
      <c r="DN383" s="43"/>
      <c r="DO383" s="43"/>
      <c r="DP383" s="43"/>
      <c r="DQ383" s="43"/>
      <c r="DR383" s="43"/>
      <c r="DS383" s="43"/>
      <c r="DT383" s="43"/>
      <c r="DU383" s="43"/>
      <c r="DV383" s="43"/>
      <c r="DW383" s="43"/>
      <c r="DX383" s="43"/>
      <c r="DY383" s="43"/>
      <c r="DZ383" s="43"/>
      <c r="EA383" s="43"/>
      <c r="EB383" s="43"/>
      <c r="EC383" s="43"/>
      <c r="ED383" s="43"/>
      <c r="EE383" s="43"/>
      <c r="EF383" s="43"/>
      <c r="EG383" s="43"/>
      <c r="EH383" s="43"/>
      <c r="EI383" s="43"/>
      <c r="EJ383" s="43"/>
      <c r="EK383" s="43"/>
      <c r="EL383" s="43"/>
      <c r="EM383" s="43"/>
      <c r="EN383" s="43"/>
      <c r="EO383" s="43"/>
      <c r="EP383" s="43"/>
      <c r="EQ383" s="43"/>
      <c r="ER383" s="43"/>
      <c r="ES383" s="43"/>
      <c r="ET383" s="43"/>
      <c r="EU383" s="43"/>
      <c r="EV383" s="43"/>
      <c r="EW383" s="43"/>
      <c r="EX383" s="43"/>
      <c r="EY383" s="43"/>
      <c r="EZ383" s="43"/>
      <c r="FA383" s="43"/>
      <c r="FB383" s="43"/>
      <c r="FC383" s="43"/>
      <c r="FD383" s="43"/>
      <c r="FE383" s="43"/>
      <c r="FF383" s="43"/>
      <c r="FG383" s="43"/>
      <c r="FH383" s="43"/>
      <c r="FI383" s="43"/>
      <c r="FJ383" s="43"/>
      <c r="FK383" s="43"/>
      <c r="FL383" s="43"/>
      <c r="FM383" s="43"/>
      <c r="FN383" s="43"/>
      <c r="FO383" s="43"/>
      <c r="FP383" s="43"/>
      <c r="FQ383" s="43"/>
      <c r="FR383" s="43"/>
      <c r="FS383" s="43"/>
      <c r="FT383" s="43"/>
      <c r="FU383" s="43"/>
      <c r="FV383" s="43"/>
      <c r="FW383" s="43"/>
      <c r="FX383" s="43"/>
      <c r="FY383" s="43"/>
      <c r="FZ383" s="43"/>
      <c r="GA383" s="43"/>
      <c r="GB383" s="43"/>
      <c r="GC383" s="43"/>
      <c r="GD383" s="43"/>
      <c r="GE383" s="43"/>
      <c r="GF383" s="43"/>
      <c r="GG383" s="43"/>
      <c r="GH383" s="43"/>
      <c r="GI383" s="43"/>
      <c r="GJ383" s="43"/>
      <c r="GK383" s="43"/>
      <c r="GL383" s="43"/>
      <c r="GM383" s="43"/>
      <c r="GN383" s="43"/>
      <c r="GO383" s="43"/>
      <c r="GP383" s="43"/>
      <c r="GQ383" s="43"/>
      <c r="GR383" s="43"/>
      <c r="GS383" s="43"/>
      <c r="GT383" s="43"/>
      <c r="GU383" s="43"/>
      <c r="GV383" s="43"/>
      <c r="GW383" s="43"/>
      <c r="GX383" s="43"/>
      <c r="GY383" s="43"/>
      <c r="GZ383" s="43"/>
      <c r="HA383" s="43"/>
      <c r="HB383" s="43"/>
      <c r="HC383" s="43"/>
      <c r="HD383" s="43"/>
      <c r="HE383" s="43"/>
      <c r="HF383" s="43"/>
      <c r="HG383" s="43"/>
      <c r="HH383" s="43"/>
      <c r="HI383" s="43"/>
      <c r="HJ383" s="43"/>
      <c r="HK383" s="43"/>
      <c r="HL383" s="43"/>
      <c r="HM383" s="43"/>
      <c r="HN383" s="43"/>
      <c r="HO383" s="43"/>
      <c r="HP383" s="43"/>
      <c r="HQ383" s="43"/>
      <c r="HR383" s="43"/>
      <c r="HS383" s="43"/>
      <c r="HT383" s="43"/>
      <c r="HU383" s="43"/>
      <c r="HV383" s="43"/>
      <c r="HW383" s="43"/>
      <c r="HX383" s="43"/>
      <c r="HY383" s="43"/>
      <c r="HZ383" s="43"/>
      <c r="IA383" s="43"/>
      <c r="IB383" s="43"/>
      <c r="IC383" s="43"/>
      <c r="ID383" s="43"/>
      <c r="IE383" s="43"/>
      <c r="IF383" s="43"/>
      <c r="IG383" s="43"/>
      <c r="IH383" s="43"/>
      <c r="II383" s="43"/>
      <c r="IJ383" s="43"/>
    </row>
    <row r="384" spans="1:244" s="81" customFormat="1" ht="25" x14ac:dyDescent="0.25">
      <c r="A384" s="54"/>
      <c r="B384" s="40" t="s">
        <v>257</v>
      </c>
      <c r="C384" s="41" t="s">
        <v>89</v>
      </c>
      <c r="D384" s="55">
        <v>1</v>
      </c>
      <c r="E384" s="43"/>
      <c r="F384" s="41"/>
      <c r="G384" s="41" t="s">
        <v>89</v>
      </c>
      <c r="H384" s="41">
        <v>0</v>
      </c>
      <c r="I384" s="41">
        <v>0</v>
      </c>
      <c r="J384" s="41">
        <f>$D384*H384</f>
        <v>0</v>
      </c>
      <c r="K384" s="41">
        <f>CEILING($D384*I384,10)</f>
        <v>0</v>
      </c>
      <c r="L384" s="41">
        <f>J384+K384</f>
        <v>0</v>
      </c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43"/>
      <c r="AF384" s="43"/>
      <c r="AG384" s="43"/>
      <c r="AH384" s="43"/>
      <c r="AI384" s="43"/>
      <c r="AJ384" s="43"/>
      <c r="AK384" s="43"/>
      <c r="AL384" s="43"/>
      <c r="AM384" s="43"/>
      <c r="AN384" s="43"/>
      <c r="AO384" s="43"/>
      <c r="AP384" s="43"/>
      <c r="AQ384" s="43"/>
      <c r="AR384" s="43"/>
      <c r="AS384" s="43"/>
      <c r="AT384" s="43"/>
      <c r="AU384" s="43"/>
      <c r="AV384" s="43"/>
      <c r="AW384" s="43"/>
      <c r="AX384" s="43"/>
      <c r="AY384" s="43"/>
      <c r="AZ384" s="43"/>
      <c r="BA384" s="43"/>
      <c r="BB384" s="43"/>
      <c r="BC384" s="43"/>
      <c r="BD384" s="43"/>
      <c r="BE384" s="43"/>
      <c r="BF384" s="43"/>
      <c r="BG384" s="43"/>
      <c r="BH384" s="43"/>
      <c r="BI384" s="43"/>
      <c r="BJ384" s="43"/>
      <c r="BK384" s="43"/>
      <c r="BL384" s="43"/>
      <c r="BM384" s="43"/>
      <c r="BN384" s="43"/>
      <c r="BO384" s="43"/>
      <c r="BP384" s="43"/>
      <c r="BQ384" s="43"/>
      <c r="BR384" s="43"/>
      <c r="BS384" s="43"/>
      <c r="BT384" s="43"/>
      <c r="BU384" s="43"/>
      <c r="BV384" s="43"/>
      <c r="BW384" s="43"/>
      <c r="BX384" s="43"/>
      <c r="BY384" s="43"/>
      <c r="BZ384" s="43"/>
      <c r="CA384" s="43"/>
      <c r="CB384" s="43"/>
      <c r="CC384" s="43"/>
      <c r="CD384" s="43"/>
      <c r="CE384" s="43"/>
      <c r="CF384" s="43"/>
      <c r="CG384" s="43"/>
      <c r="CH384" s="43"/>
      <c r="CI384" s="43"/>
      <c r="CJ384" s="43"/>
      <c r="CK384" s="43"/>
      <c r="CL384" s="43"/>
      <c r="CM384" s="43"/>
      <c r="CN384" s="43"/>
      <c r="CO384" s="43"/>
      <c r="CP384" s="43"/>
      <c r="CQ384" s="43"/>
      <c r="CR384" s="43"/>
      <c r="CS384" s="43"/>
      <c r="CT384" s="43"/>
      <c r="CU384" s="43"/>
      <c r="CV384" s="43"/>
      <c r="CW384" s="43"/>
      <c r="CX384" s="43"/>
      <c r="CY384" s="43"/>
      <c r="CZ384" s="43"/>
      <c r="DA384" s="43"/>
      <c r="DB384" s="43"/>
      <c r="DC384" s="43"/>
      <c r="DD384" s="43"/>
      <c r="DE384" s="43"/>
      <c r="DF384" s="43"/>
      <c r="DG384" s="43"/>
      <c r="DH384" s="43"/>
      <c r="DI384" s="43"/>
      <c r="DJ384" s="43"/>
      <c r="DK384" s="43"/>
      <c r="DL384" s="43"/>
      <c r="DM384" s="43"/>
      <c r="DN384" s="43"/>
      <c r="DO384" s="43"/>
      <c r="DP384" s="43"/>
      <c r="DQ384" s="43"/>
      <c r="DR384" s="43"/>
      <c r="DS384" s="43"/>
      <c r="DT384" s="43"/>
      <c r="DU384" s="43"/>
      <c r="DV384" s="43"/>
      <c r="DW384" s="43"/>
      <c r="DX384" s="43"/>
      <c r="DY384" s="43"/>
      <c r="DZ384" s="43"/>
      <c r="EA384" s="43"/>
      <c r="EB384" s="43"/>
      <c r="EC384" s="43"/>
      <c r="ED384" s="43"/>
      <c r="EE384" s="43"/>
      <c r="EF384" s="43"/>
      <c r="EG384" s="43"/>
      <c r="EH384" s="43"/>
      <c r="EI384" s="43"/>
      <c r="EJ384" s="43"/>
      <c r="EK384" s="43"/>
      <c r="EL384" s="43"/>
      <c r="EM384" s="43"/>
      <c r="EN384" s="43"/>
      <c r="EO384" s="43"/>
      <c r="EP384" s="43"/>
      <c r="EQ384" s="43"/>
      <c r="ER384" s="43"/>
      <c r="ES384" s="43"/>
      <c r="ET384" s="43"/>
      <c r="EU384" s="43"/>
      <c r="EV384" s="43"/>
      <c r="EW384" s="43"/>
      <c r="EX384" s="43"/>
      <c r="EY384" s="43"/>
      <c r="EZ384" s="43"/>
      <c r="FA384" s="43"/>
      <c r="FB384" s="43"/>
      <c r="FC384" s="43"/>
      <c r="FD384" s="43"/>
      <c r="FE384" s="43"/>
      <c r="FF384" s="43"/>
      <c r="FG384" s="43"/>
      <c r="FH384" s="43"/>
      <c r="FI384" s="43"/>
      <c r="FJ384" s="43"/>
      <c r="FK384" s="43"/>
      <c r="FL384" s="43"/>
      <c r="FM384" s="43"/>
      <c r="FN384" s="43"/>
      <c r="FO384" s="43"/>
      <c r="FP384" s="43"/>
      <c r="FQ384" s="43"/>
      <c r="FR384" s="43"/>
      <c r="FS384" s="43"/>
      <c r="FT384" s="43"/>
      <c r="FU384" s="43"/>
      <c r="FV384" s="43"/>
      <c r="FW384" s="43"/>
      <c r="FX384" s="43"/>
      <c r="FY384" s="43"/>
      <c r="FZ384" s="43"/>
      <c r="GA384" s="43"/>
      <c r="GB384" s="43"/>
      <c r="GC384" s="43"/>
      <c r="GD384" s="43"/>
      <c r="GE384" s="43"/>
      <c r="GF384" s="43"/>
      <c r="GG384" s="43"/>
      <c r="GH384" s="43"/>
      <c r="GI384" s="43"/>
      <c r="GJ384" s="43"/>
      <c r="GK384" s="43"/>
      <c r="GL384" s="43"/>
      <c r="GM384" s="43"/>
      <c r="GN384" s="43"/>
      <c r="GO384" s="43"/>
      <c r="GP384" s="43"/>
      <c r="GQ384" s="43"/>
      <c r="GR384" s="43"/>
      <c r="GS384" s="43"/>
      <c r="GT384" s="43"/>
      <c r="GU384" s="43"/>
      <c r="GV384" s="43"/>
      <c r="GW384" s="43"/>
      <c r="GX384" s="43"/>
      <c r="GY384" s="43"/>
      <c r="GZ384" s="43"/>
      <c r="HA384" s="43"/>
      <c r="HB384" s="43"/>
      <c r="HC384" s="43"/>
      <c r="HD384" s="43"/>
      <c r="HE384" s="43"/>
      <c r="HF384" s="43"/>
      <c r="HG384" s="43"/>
      <c r="HH384" s="43"/>
      <c r="HI384" s="43"/>
      <c r="HJ384" s="43"/>
      <c r="HK384" s="43"/>
      <c r="HL384" s="43"/>
      <c r="HM384" s="43"/>
      <c r="HN384" s="43"/>
      <c r="HO384" s="43"/>
      <c r="HP384" s="43"/>
      <c r="HQ384" s="43"/>
      <c r="HR384" s="43"/>
      <c r="HS384" s="43"/>
      <c r="HT384" s="43"/>
      <c r="HU384" s="43"/>
      <c r="HV384" s="43"/>
      <c r="HW384" s="43"/>
      <c r="HX384" s="43"/>
      <c r="HY384" s="43"/>
      <c r="HZ384" s="43"/>
      <c r="IA384" s="43"/>
      <c r="IB384" s="43"/>
      <c r="IC384" s="43"/>
      <c r="ID384" s="43"/>
      <c r="IE384" s="43"/>
      <c r="IF384" s="43"/>
      <c r="IG384" s="43"/>
      <c r="IH384" s="43"/>
      <c r="II384" s="43"/>
      <c r="IJ384" s="43"/>
    </row>
    <row r="385" spans="1:244" x14ac:dyDescent="0.25">
      <c r="A385" s="54"/>
      <c r="B385" s="40"/>
      <c r="C385" s="41"/>
      <c r="D385" s="41"/>
      <c r="E385" s="43"/>
      <c r="F385" s="41"/>
      <c r="G385" s="41"/>
      <c r="H385" s="41"/>
      <c r="I385" s="41"/>
      <c r="J385" s="41"/>
      <c r="K385" s="41"/>
      <c r="L385" s="41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  <c r="AD385" s="43"/>
      <c r="AE385" s="43"/>
      <c r="AF385" s="43"/>
      <c r="AG385" s="43"/>
      <c r="AH385" s="43"/>
      <c r="AI385" s="43"/>
      <c r="AJ385" s="43"/>
      <c r="AK385" s="43"/>
      <c r="AL385" s="43"/>
      <c r="AM385" s="43"/>
      <c r="AN385" s="43"/>
      <c r="AO385" s="43"/>
      <c r="AP385" s="43"/>
      <c r="AQ385" s="43"/>
      <c r="AR385" s="43"/>
      <c r="AS385" s="43"/>
      <c r="AT385" s="43"/>
      <c r="AU385" s="43"/>
      <c r="AV385" s="43"/>
      <c r="AW385" s="43"/>
      <c r="AX385" s="43"/>
      <c r="AY385" s="43"/>
      <c r="AZ385" s="43"/>
      <c r="BA385" s="43"/>
      <c r="BB385" s="43"/>
      <c r="BC385" s="43"/>
      <c r="BD385" s="43"/>
      <c r="BE385" s="43"/>
      <c r="BF385" s="43"/>
      <c r="BG385" s="43"/>
      <c r="BH385" s="43"/>
      <c r="BI385" s="43"/>
      <c r="BJ385" s="43"/>
      <c r="BK385" s="43"/>
      <c r="BL385" s="43"/>
      <c r="BM385" s="43"/>
      <c r="BN385" s="43"/>
      <c r="BO385" s="43"/>
      <c r="BP385" s="43"/>
      <c r="BQ385" s="43"/>
      <c r="BR385" s="43"/>
      <c r="BS385" s="43"/>
      <c r="BT385" s="43"/>
      <c r="BU385" s="43"/>
      <c r="BV385" s="43"/>
      <c r="BW385" s="43"/>
      <c r="BX385" s="43"/>
      <c r="BY385" s="43"/>
      <c r="BZ385" s="43"/>
      <c r="CA385" s="43"/>
      <c r="CB385" s="43"/>
      <c r="CC385" s="43"/>
      <c r="CD385" s="43"/>
      <c r="CE385" s="43"/>
      <c r="CF385" s="43"/>
      <c r="CG385" s="43"/>
      <c r="CH385" s="43"/>
      <c r="CI385" s="43"/>
      <c r="CJ385" s="43"/>
      <c r="CK385" s="43"/>
      <c r="CL385" s="43"/>
      <c r="CM385" s="43"/>
      <c r="CN385" s="43"/>
      <c r="CO385" s="43"/>
      <c r="CP385" s="43"/>
      <c r="CQ385" s="43"/>
      <c r="CR385" s="43"/>
      <c r="CS385" s="43"/>
      <c r="CT385" s="43"/>
      <c r="CU385" s="43"/>
      <c r="CV385" s="43"/>
      <c r="CW385" s="43"/>
      <c r="CX385" s="43"/>
      <c r="CY385" s="43"/>
      <c r="CZ385" s="43"/>
      <c r="DA385" s="43"/>
      <c r="DB385" s="43"/>
      <c r="DC385" s="43"/>
      <c r="DD385" s="43"/>
      <c r="DE385" s="43"/>
      <c r="DF385" s="43"/>
      <c r="DG385" s="43"/>
      <c r="DH385" s="43"/>
      <c r="DI385" s="43"/>
      <c r="DJ385" s="43"/>
      <c r="DK385" s="43"/>
      <c r="DL385" s="43"/>
      <c r="DM385" s="43"/>
      <c r="DN385" s="43"/>
      <c r="DO385" s="43"/>
      <c r="DP385" s="43"/>
      <c r="DQ385" s="43"/>
      <c r="DR385" s="43"/>
      <c r="DS385" s="43"/>
      <c r="DT385" s="43"/>
      <c r="DU385" s="43"/>
      <c r="DV385" s="43"/>
      <c r="DW385" s="43"/>
      <c r="DX385" s="43"/>
      <c r="DY385" s="43"/>
      <c r="DZ385" s="43"/>
      <c r="EA385" s="43"/>
      <c r="EB385" s="43"/>
      <c r="EC385" s="43"/>
      <c r="ED385" s="43"/>
      <c r="EE385" s="43"/>
      <c r="EF385" s="43"/>
      <c r="EG385" s="43"/>
      <c r="EH385" s="43"/>
      <c r="EI385" s="43"/>
      <c r="EJ385" s="43"/>
      <c r="EK385" s="43"/>
      <c r="EL385" s="43"/>
      <c r="EM385" s="43"/>
      <c r="EN385" s="43"/>
      <c r="EO385" s="43"/>
      <c r="EP385" s="43"/>
      <c r="EQ385" s="43"/>
      <c r="ER385" s="43"/>
      <c r="ES385" s="43"/>
      <c r="ET385" s="43"/>
      <c r="EU385" s="43"/>
      <c r="EV385" s="43"/>
      <c r="EW385" s="43"/>
      <c r="EX385" s="43"/>
      <c r="EY385" s="43"/>
      <c r="EZ385" s="43"/>
      <c r="FA385" s="43"/>
      <c r="FB385" s="43"/>
      <c r="FC385" s="43"/>
      <c r="FD385" s="43"/>
      <c r="FE385" s="43"/>
      <c r="FF385" s="43"/>
      <c r="FG385" s="43"/>
      <c r="FH385" s="43"/>
      <c r="FI385" s="43"/>
      <c r="FJ385" s="43"/>
      <c r="FK385" s="43"/>
      <c r="FL385" s="43"/>
      <c r="FM385" s="43"/>
      <c r="FN385" s="43"/>
      <c r="FO385" s="43"/>
      <c r="FP385" s="43"/>
      <c r="FQ385" s="43"/>
      <c r="FR385" s="43"/>
      <c r="FS385" s="43"/>
      <c r="FT385" s="43"/>
      <c r="FU385" s="43"/>
      <c r="FV385" s="43"/>
      <c r="FW385" s="43"/>
      <c r="FX385" s="43"/>
      <c r="FY385" s="43"/>
      <c r="FZ385" s="43"/>
      <c r="GA385" s="43"/>
      <c r="GB385" s="43"/>
      <c r="GC385" s="43"/>
      <c r="GD385" s="43"/>
      <c r="GE385" s="43"/>
      <c r="GF385" s="43"/>
      <c r="GG385" s="43"/>
      <c r="GH385" s="43"/>
      <c r="GI385" s="43"/>
      <c r="GJ385" s="43"/>
      <c r="GK385" s="43"/>
      <c r="GL385" s="43"/>
      <c r="GM385" s="43"/>
      <c r="GN385" s="43"/>
      <c r="GO385" s="43"/>
      <c r="GP385" s="43"/>
      <c r="GQ385" s="43"/>
      <c r="GR385" s="43"/>
      <c r="GS385" s="43"/>
      <c r="GT385" s="43"/>
      <c r="GU385" s="43"/>
      <c r="GV385" s="43"/>
      <c r="GW385" s="43"/>
      <c r="GX385" s="43"/>
      <c r="GY385" s="43"/>
      <c r="GZ385" s="43"/>
      <c r="HA385" s="43"/>
      <c r="HB385" s="43"/>
      <c r="HC385" s="43"/>
      <c r="HD385" s="43"/>
      <c r="HE385" s="43"/>
      <c r="HF385" s="43"/>
      <c r="HG385" s="43"/>
      <c r="HH385" s="43"/>
      <c r="HI385" s="43"/>
      <c r="HJ385" s="43"/>
      <c r="HK385" s="43"/>
      <c r="HL385" s="43"/>
      <c r="HM385" s="43"/>
      <c r="HN385" s="43"/>
      <c r="HO385" s="43"/>
      <c r="HP385" s="43"/>
      <c r="HQ385" s="43"/>
      <c r="HR385" s="43"/>
      <c r="HS385" s="43"/>
      <c r="HT385" s="43"/>
      <c r="HU385" s="43"/>
      <c r="HV385" s="43"/>
      <c r="HW385" s="43"/>
      <c r="HX385" s="43"/>
      <c r="HY385" s="43"/>
      <c r="HZ385" s="43"/>
      <c r="IA385" s="43"/>
      <c r="IB385" s="43"/>
      <c r="IC385" s="43"/>
      <c r="ID385" s="43"/>
      <c r="IE385" s="43"/>
      <c r="IF385" s="43"/>
      <c r="IG385" s="43"/>
      <c r="IH385" s="43"/>
      <c r="II385" s="43"/>
      <c r="IJ385" s="43"/>
    </row>
    <row r="386" spans="1:244" ht="13" x14ac:dyDescent="0.25">
      <c r="B386" s="39" t="s">
        <v>259</v>
      </c>
      <c r="C386" s="1"/>
      <c r="D386" s="1"/>
      <c r="E386" s="1"/>
      <c r="F386" s="1"/>
      <c r="G386" s="1"/>
      <c r="J386" s="17"/>
      <c r="K386" s="17"/>
      <c r="L386" s="1"/>
    </row>
    <row r="387" spans="1:244" s="81" customFormat="1" ht="25" x14ac:dyDescent="0.25">
      <c r="A387" s="54"/>
      <c r="B387" s="44" t="s">
        <v>267</v>
      </c>
      <c r="C387" s="41" t="s">
        <v>68</v>
      </c>
      <c r="D387" s="46">
        <f>D308</f>
        <v>1</v>
      </c>
      <c r="E387" s="45"/>
      <c r="F387" s="41">
        <f t="shared" ref="F387:F390" si="117">D387*E387</f>
        <v>0</v>
      </c>
      <c r="G387" s="41" t="s">
        <v>68</v>
      </c>
      <c r="H387" s="41">
        <v>0</v>
      </c>
      <c r="I387" s="41">
        <v>0</v>
      </c>
      <c r="J387" s="41">
        <f t="shared" ref="J387:K390" si="118">$D387*H387</f>
        <v>0</v>
      </c>
      <c r="K387" s="41">
        <f t="shared" si="118"/>
        <v>0</v>
      </c>
      <c r="L387" s="41">
        <f t="shared" ref="L387:L390" si="119">J387+K387</f>
        <v>0</v>
      </c>
    </row>
    <row r="388" spans="1:244" s="81" customFormat="1" ht="25" x14ac:dyDescent="0.25">
      <c r="A388" s="54"/>
      <c r="B388" s="44" t="s">
        <v>311</v>
      </c>
      <c r="C388" s="41" t="s">
        <v>68</v>
      </c>
      <c r="D388" s="46">
        <f>D309</f>
        <v>3</v>
      </c>
      <c r="E388" s="45"/>
      <c r="F388" s="41">
        <f t="shared" si="117"/>
        <v>0</v>
      </c>
      <c r="G388" s="41" t="s">
        <v>68</v>
      </c>
      <c r="H388" s="41">
        <v>0</v>
      </c>
      <c r="I388" s="41">
        <v>0</v>
      </c>
      <c r="J388" s="41">
        <f t="shared" si="118"/>
        <v>0</v>
      </c>
      <c r="K388" s="41">
        <f t="shared" si="118"/>
        <v>0</v>
      </c>
      <c r="L388" s="41">
        <f t="shared" si="119"/>
        <v>0</v>
      </c>
    </row>
    <row r="389" spans="1:244" s="81" customFormat="1" ht="25" x14ac:dyDescent="0.25">
      <c r="A389" s="54"/>
      <c r="B389" s="44" t="s">
        <v>268</v>
      </c>
      <c r="C389" s="41" t="s">
        <v>68</v>
      </c>
      <c r="D389" s="46">
        <f>D310</f>
        <v>14</v>
      </c>
      <c r="E389" s="45"/>
      <c r="F389" s="41">
        <f t="shared" si="117"/>
        <v>0</v>
      </c>
      <c r="G389" s="41" t="s">
        <v>68</v>
      </c>
      <c r="H389" s="41">
        <v>0</v>
      </c>
      <c r="I389" s="41">
        <v>0</v>
      </c>
      <c r="J389" s="41">
        <f t="shared" si="118"/>
        <v>0</v>
      </c>
      <c r="K389" s="41">
        <f t="shared" si="118"/>
        <v>0</v>
      </c>
      <c r="L389" s="41">
        <f t="shared" si="119"/>
        <v>0</v>
      </c>
    </row>
    <row r="390" spans="1:244" s="81" customFormat="1" ht="25" x14ac:dyDescent="0.25">
      <c r="A390" s="54"/>
      <c r="B390" s="44" t="s">
        <v>269</v>
      </c>
      <c r="C390" s="41" t="s">
        <v>68</v>
      </c>
      <c r="D390" s="46">
        <f>D265</f>
        <v>29</v>
      </c>
      <c r="E390" s="45"/>
      <c r="F390" s="41">
        <f t="shared" si="117"/>
        <v>0</v>
      </c>
      <c r="G390" s="41" t="s">
        <v>68</v>
      </c>
      <c r="H390" s="41">
        <v>0</v>
      </c>
      <c r="I390" s="41">
        <v>0</v>
      </c>
      <c r="J390" s="41">
        <f t="shared" si="118"/>
        <v>0</v>
      </c>
      <c r="K390" s="41">
        <f t="shared" si="118"/>
        <v>0</v>
      </c>
      <c r="L390" s="41">
        <f t="shared" si="119"/>
        <v>0</v>
      </c>
    </row>
    <row r="391" spans="1:244" s="81" customFormat="1" x14ac:dyDescent="0.25">
      <c r="A391" s="54"/>
      <c r="B391" s="40"/>
      <c r="C391" s="41"/>
      <c r="D391" s="46"/>
      <c r="E391" s="45"/>
      <c r="F391" s="41"/>
      <c r="G391" s="41"/>
      <c r="H391" s="41"/>
      <c r="I391" s="41"/>
      <c r="J391" s="41"/>
      <c r="K391" s="41"/>
      <c r="L391" s="41"/>
    </row>
    <row r="392" spans="1:244" s="43" customFormat="1" ht="13" x14ac:dyDescent="0.25">
      <c r="A392" s="70"/>
      <c r="B392" s="39" t="s">
        <v>258</v>
      </c>
      <c r="C392" s="47"/>
      <c r="D392" s="47"/>
      <c r="E392" s="47"/>
      <c r="F392" s="47"/>
      <c r="G392" s="47"/>
      <c r="H392" s="42"/>
      <c r="I392" s="42"/>
      <c r="J392" s="42"/>
      <c r="K392" s="42"/>
      <c r="L392" s="42"/>
    </row>
    <row r="393" spans="1:244" s="81" customFormat="1" ht="25" x14ac:dyDescent="0.25">
      <c r="A393" s="54"/>
      <c r="B393" s="44" t="s">
        <v>270</v>
      </c>
      <c r="C393" s="41" t="s">
        <v>68</v>
      </c>
      <c r="D393" s="46">
        <f t="shared" ref="D393:D401" si="120">D218</f>
        <v>5</v>
      </c>
      <c r="E393" s="45"/>
      <c r="F393" s="41">
        <f t="shared" ref="F393:F401" si="121">D393*E393</f>
        <v>0</v>
      </c>
      <c r="G393" s="41" t="s">
        <v>68</v>
      </c>
      <c r="H393" s="41">
        <v>0</v>
      </c>
      <c r="I393" s="41">
        <v>0</v>
      </c>
      <c r="J393" s="41">
        <f t="shared" ref="J393:J401" si="122">$D393*H393</f>
        <v>0</v>
      </c>
      <c r="K393" s="41">
        <f t="shared" ref="K393:K401" si="123">$D393*I393</f>
        <v>0</v>
      </c>
      <c r="L393" s="41">
        <f t="shared" ref="L393:L401" si="124">J393+K393</f>
        <v>0</v>
      </c>
    </row>
    <row r="394" spans="1:244" s="81" customFormat="1" ht="25" x14ac:dyDescent="0.25">
      <c r="A394" s="54"/>
      <c r="B394" s="44" t="s">
        <v>271</v>
      </c>
      <c r="C394" s="41" t="s">
        <v>68</v>
      </c>
      <c r="D394" s="46">
        <f t="shared" si="120"/>
        <v>16</v>
      </c>
      <c r="E394" s="45"/>
      <c r="F394" s="41">
        <f t="shared" si="121"/>
        <v>0</v>
      </c>
      <c r="G394" s="41" t="s">
        <v>68</v>
      </c>
      <c r="H394" s="41">
        <v>0</v>
      </c>
      <c r="I394" s="41">
        <v>0</v>
      </c>
      <c r="J394" s="41">
        <f t="shared" si="122"/>
        <v>0</v>
      </c>
      <c r="K394" s="41">
        <f t="shared" si="123"/>
        <v>0</v>
      </c>
      <c r="L394" s="41">
        <f t="shared" si="124"/>
        <v>0</v>
      </c>
    </row>
    <row r="395" spans="1:244" s="81" customFormat="1" ht="25" x14ac:dyDescent="0.25">
      <c r="A395" s="54"/>
      <c r="B395" s="44" t="s">
        <v>272</v>
      </c>
      <c r="C395" s="41" t="s">
        <v>68</v>
      </c>
      <c r="D395" s="46">
        <f t="shared" si="120"/>
        <v>7</v>
      </c>
      <c r="E395" s="45"/>
      <c r="F395" s="41">
        <f t="shared" si="121"/>
        <v>0</v>
      </c>
      <c r="G395" s="41" t="s">
        <v>68</v>
      </c>
      <c r="H395" s="41">
        <v>0</v>
      </c>
      <c r="I395" s="41">
        <v>0</v>
      </c>
      <c r="J395" s="41">
        <f t="shared" si="122"/>
        <v>0</v>
      </c>
      <c r="K395" s="41">
        <f t="shared" si="123"/>
        <v>0</v>
      </c>
      <c r="L395" s="41">
        <f t="shared" si="124"/>
        <v>0</v>
      </c>
    </row>
    <row r="396" spans="1:244" s="81" customFormat="1" ht="25" x14ac:dyDescent="0.25">
      <c r="A396" s="54"/>
      <c r="B396" s="44" t="s">
        <v>273</v>
      </c>
      <c r="C396" s="41" t="s">
        <v>68</v>
      </c>
      <c r="D396" s="46">
        <f t="shared" si="120"/>
        <v>13</v>
      </c>
      <c r="E396" s="45"/>
      <c r="F396" s="41">
        <f t="shared" si="121"/>
        <v>0</v>
      </c>
      <c r="G396" s="41" t="s">
        <v>68</v>
      </c>
      <c r="H396" s="41">
        <v>0</v>
      </c>
      <c r="I396" s="41">
        <v>0</v>
      </c>
      <c r="J396" s="41">
        <f t="shared" si="122"/>
        <v>0</v>
      </c>
      <c r="K396" s="41">
        <f t="shared" si="123"/>
        <v>0</v>
      </c>
      <c r="L396" s="41">
        <f t="shared" si="124"/>
        <v>0</v>
      </c>
    </row>
    <row r="397" spans="1:244" s="81" customFormat="1" ht="25" x14ac:dyDescent="0.25">
      <c r="A397" s="54"/>
      <c r="B397" s="44" t="s">
        <v>274</v>
      </c>
      <c r="C397" s="41" t="s">
        <v>68</v>
      </c>
      <c r="D397" s="46">
        <f t="shared" si="120"/>
        <v>14</v>
      </c>
      <c r="E397" s="45"/>
      <c r="F397" s="41">
        <f t="shared" si="121"/>
        <v>0</v>
      </c>
      <c r="G397" s="41" t="s">
        <v>68</v>
      </c>
      <c r="H397" s="41">
        <v>0</v>
      </c>
      <c r="I397" s="41">
        <v>0</v>
      </c>
      <c r="J397" s="41">
        <f t="shared" si="122"/>
        <v>0</v>
      </c>
      <c r="K397" s="41">
        <f t="shared" si="123"/>
        <v>0</v>
      </c>
      <c r="L397" s="41">
        <f t="shared" si="124"/>
        <v>0</v>
      </c>
    </row>
    <row r="398" spans="1:244" s="81" customFormat="1" ht="25" x14ac:dyDescent="0.25">
      <c r="A398" s="54"/>
      <c r="B398" s="44" t="s">
        <v>275</v>
      </c>
      <c r="C398" s="41" t="s">
        <v>68</v>
      </c>
      <c r="D398" s="46">
        <f t="shared" si="120"/>
        <v>8</v>
      </c>
      <c r="E398" s="45"/>
      <c r="F398" s="41">
        <f t="shared" si="121"/>
        <v>0</v>
      </c>
      <c r="G398" s="41" t="s">
        <v>68</v>
      </c>
      <c r="H398" s="41">
        <v>0</v>
      </c>
      <c r="I398" s="41">
        <v>0</v>
      </c>
      <c r="J398" s="41">
        <f t="shared" si="122"/>
        <v>0</v>
      </c>
      <c r="K398" s="41">
        <f t="shared" si="123"/>
        <v>0</v>
      </c>
      <c r="L398" s="41">
        <f t="shared" si="124"/>
        <v>0</v>
      </c>
    </row>
    <row r="399" spans="1:244" s="81" customFormat="1" ht="25" x14ac:dyDescent="0.25">
      <c r="A399" s="54"/>
      <c r="B399" s="44" t="s">
        <v>276</v>
      </c>
      <c r="C399" s="41" t="s">
        <v>68</v>
      </c>
      <c r="D399" s="46">
        <f t="shared" si="120"/>
        <v>3</v>
      </c>
      <c r="E399" s="45"/>
      <c r="F399" s="41">
        <f t="shared" si="121"/>
        <v>0</v>
      </c>
      <c r="G399" s="41" t="s">
        <v>68</v>
      </c>
      <c r="H399" s="41">
        <v>0</v>
      </c>
      <c r="I399" s="41">
        <v>0</v>
      </c>
      <c r="J399" s="41">
        <f t="shared" si="122"/>
        <v>0</v>
      </c>
      <c r="K399" s="41">
        <f t="shared" si="123"/>
        <v>0</v>
      </c>
      <c r="L399" s="41">
        <f t="shared" si="124"/>
        <v>0</v>
      </c>
    </row>
    <row r="400" spans="1:244" s="81" customFormat="1" ht="25" x14ac:dyDescent="0.25">
      <c r="A400" s="54"/>
      <c r="B400" s="44" t="s">
        <v>277</v>
      </c>
      <c r="C400" s="41" t="s">
        <v>68</v>
      </c>
      <c r="D400" s="46">
        <f t="shared" si="120"/>
        <v>11</v>
      </c>
      <c r="E400" s="45"/>
      <c r="F400" s="41">
        <f t="shared" si="121"/>
        <v>0</v>
      </c>
      <c r="G400" s="41" t="s">
        <v>68</v>
      </c>
      <c r="H400" s="41">
        <v>0</v>
      </c>
      <c r="I400" s="41">
        <v>0</v>
      </c>
      <c r="J400" s="41">
        <f t="shared" si="122"/>
        <v>0</v>
      </c>
      <c r="K400" s="41">
        <f t="shared" si="123"/>
        <v>0</v>
      </c>
      <c r="L400" s="41">
        <f t="shared" si="124"/>
        <v>0</v>
      </c>
    </row>
    <row r="401" spans="1:244" s="81" customFormat="1" ht="25" x14ac:dyDescent="0.25">
      <c r="A401" s="54"/>
      <c r="B401" s="44" t="s">
        <v>312</v>
      </c>
      <c r="C401" s="41" t="s">
        <v>68</v>
      </c>
      <c r="D401" s="46">
        <f t="shared" si="120"/>
        <v>3</v>
      </c>
      <c r="E401" s="45"/>
      <c r="F401" s="41">
        <f t="shared" si="121"/>
        <v>0</v>
      </c>
      <c r="G401" s="41" t="s">
        <v>68</v>
      </c>
      <c r="H401" s="41">
        <v>0</v>
      </c>
      <c r="I401" s="41">
        <v>0</v>
      </c>
      <c r="J401" s="41">
        <f t="shared" si="122"/>
        <v>0</v>
      </c>
      <c r="K401" s="41">
        <f t="shared" si="123"/>
        <v>0</v>
      </c>
      <c r="L401" s="41">
        <f t="shared" si="124"/>
        <v>0</v>
      </c>
    </row>
    <row r="402" spans="1:244" s="81" customFormat="1" x14ac:dyDescent="0.25">
      <c r="A402" s="54"/>
      <c r="B402" s="44"/>
      <c r="C402" s="41"/>
      <c r="D402" s="46"/>
      <c r="E402" s="45"/>
      <c r="F402" s="41"/>
      <c r="G402" s="41"/>
      <c r="H402" s="41"/>
      <c r="I402" s="41"/>
      <c r="J402" s="41"/>
      <c r="K402" s="41"/>
      <c r="L402" s="41"/>
    </row>
    <row r="403" spans="1:244" s="81" customFormat="1" x14ac:dyDescent="0.25">
      <c r="A403" s="54"/>
      <c r="B403" s="44" t="s">
        <v>260</v>
      </c>
      <c r="C403" s="41" t="s">
        <v>53</v>
      </c>
      <c r="D403" s="46">
        <f>3+2+1+1+2</f>
        <v>9</v>
      </c>
      <c r="E403" s="45"/>
      <c r="F403" s="41">
        <f t="shared" ref="F403:F409" si="125">D403*E403</f>
        <v>0</v>
      </c>
      <c r="G403" s="41" t="s">
        <v>53</v>
      </c>
      <c r="H403" s="41">
        <v>0</v>
      </c>
      <c r="I403" s="41">
        <v>0</v>
      </c>
      <c r="J403" s="41">
        <f t="shared" ref="J403:K409" si="126">$D403*H403</f>
        <v>0</v>
      </c>
      <c r="K403" s="41">
        <f t="shared" si="126"/>
        <v>0</v>
      </c>
      <c r="L403" s="41">
        <f t="shared" ref="L403:L409" si="127">J403+K403</f>
        <v>0</v>
      </c>
    </row>
    <row r="404" spans="1:244" s="81" customFormat="1" x14ac:dyDescent="0.25">
      <c r="A404" s="54"/>
      <c r="B404" s="44" t="s">
        <v>261</v>
      </c>
      <c r="C404" s="41" t="s">
        <v>53</v>
      </c>
      <c r="D404" s="46">
        <f>3+2+1</f>
        <v>6</v>
      </c>
      <c r="E404" s="45"/>
      <c r="F404" s="41">
        <f t="shared" si="125"/>
        <v>0</v>
      </c>
      <c r="G404" s="41" t="s">
        <v>53</v>
      </c>
      <c r="H404" s="41">
        <v>0</v>
      </c>
      <c r="I404" s="41">
        <v>0</v>
      </c>
      <c r="J404" s="41">
        <f t="shared" si="126"/>
        <v>0</v>
      </c>
      <c r="K404" s="41">
        <f t="shared" si="126"/>
        <v>0</v>
      </c>
      <c r="L404" s="41">
        <f t="shared" si="127"/>
        <v>0</v>
      </c>
    </row>
    <row r="405" spans="1:244" s="81" customFormat="1" x14ac:dyDescent="0.25">
      <c r="A405" s="54"/>
      <c r="B405" s="44" t="s">
        <v>262</v>
      </c>
      <c r="C405" s="41" t="s">
        <v>53</v>
      </c>
      <c r="D405" s="46">
        <f>3+3</f>
        <v>6</v>
      </c>
      <c r="E405" s="45"/>
      <c r="F405" s="41">
        <f t="shared" si="125"/>
        <v>0</v>
      </c>
      <c r="G405" s="41" t="s">
        <v>53</v>
      </c>
      <c r="H405" s="41">
        <v>0</v>
      </c>
      <c r="I405" s="41">
        <v>0</v>
      </c>
      <c r="J405" s="41">
        <f t="shared" si="126"/>
        <v>0</v>
      </c>
      <c r="K405" s="41">
        <f t="shared" si="126"/>
        <v>0</v>
      </c>
      <c r="L405" s="41">
        <f t="shared" si="127"/>
        <v>0</v>
      </c>
    </row>
    <row r="406" spans="1:244" s="81" customFormat="1" x14ac:dyDescent="0.25">
      <c r="A406" s="54"/>
      <c r="B406" s="44" t="s">
        <v>263</v>
      </c>
      <c r="C406" s="41" t="s">
        <v>53</v>
      </c>
      <c r="D406" s="46">
        <f>3+2+1</f>
        <v>6</v>
      </c>
      <c r="E406" s="45"/>
      <c r="F406" s="41">
        <f t="shared" si="125"/>
        <v>0</v>
      </c>
      <c r="G406" s="41" t="s">
        <v>53</v>
      </c>
      <c r="H406" s="41">
        <v>0</v>
      </c>
      <c r="I406" s="41">
        <v>0</v>
      </c>
      <c r="J406" s="41">
        <f t="shared" si="126"/>
        <v>0</v>
      </c>
      <c r="K406" s="41">
        <f t="shared" si="126"/>
        <v>0</v>
      </c>
      <c r="L406" s="41">
        <f t="shared" si="127"/>
        <v>0</v>
      </c>
    </row>
    <row r="407" spans="1:244" s="81" customFormat="1" x14ac:dyDescent="0.25">
      <c r="A407" s="54"/>
      <c r="B407" s="44" t="s">
        <v>264</v>
      </c>
      <c r="C407" s="41" t="s">
        <v>53</v>
      </c>
      <c r="D407" s="46">
        <f>2+1</f>
        <v>3</v>
      </c>
      <c r="E407" s="45"/>
      <c r="F407" s="41">
        <f t="shared" si="125"/>
        <v>0</v>
      </c>
      <c r="G407" s="41" t="s">
        <v>53</v>
      </c>
      <c r="H407" s="41">
        <v>0</v>
      </c>
      <c r="I407" s="41">
        <v>0</v>
      </c>
      <c r="J407" s="41">
        <f t="shared" si="126"/>
        <v>0</v>
      </c>
      <c r="K407" s="41">
        <f t="shared" si="126"/>
        <v>0</v>
      </c>
      <c r="L407" s="41">
        <f t="shared" si="127"/>
        <v>0</v>
      </c>
    </row>
    <row r="408" spans="1:244" s="81" customFormat="1" x14ac:dyDescent="0.25">
      <c r="A408" s="54"/>
      <c r="B408" s="44" t="s">
        <v>265</v>
      </c>
      <c r="C408" s="41" t="s">
        <v>53</v>
      </c>
      <c r="D408" s="46">
        <f>2+2</f>
        <v>4</v>
      </c>
      <c r="E408" s="45"/>
      <c r="F408" s="41">
        <f t="shared" si="125"/>
        <v>0</v>
      </c>
      <c r="G408" s="41" t="s">
        <v>53</v>
      </c>
      <c r="H408" s="41">
        <v>0</v>
      </c>
      <c r="I408" s="41">
        <v>0</v>
      </c>
      <c r="J408" s="41">
        <f t="shared" si="126"/>
        <v>0</v>
      </c>
      <c r="K408" s="41">
        <f t="shared" si="126"/>
        <v>0</v>
      </c>
      <c r="L408" s="41">
        <f t="shared" si="127"/>
        <v>0</v>
      </c>
    </row>
    <row r="409" spans="1:244" s="81" customFormat="1" x14ac:dyDescent="0.25">
      <c r="A409" s="54"/>
      <c r="B409" s="44" t="s">
        <v>266</v>
      </c>
      <c r="C409" s="41" t="s">
        <v>53</v>
      </c>
      <c r="D409" s="46">
        <f>5</f>
        <v>5</v>
      </c>
      <c r="E409" s="45"/>
      <c r="F409" s="41">
        <f t="shared" si="125"/>
        <v>0</v>
      </c>
      <c r="G409" s="41" t="s">
        <v>53</v>
      </c>
      <c r="H409" s="41">
        <v>0</v>
      </c>
      <c r="I409" s="41">
        <v>0</v>
      </c>
      <c r="J409" s="41">
        <f t="shared" si="126"/>
        <v>0</v>
      </c>
      <c r="K409" s="41">
        <f t="shared" si="126"/>
        <v>0</v>
      </c>
      <c r="L409" s="41">
        <f t="shared" si="127"/>
        <v>0</v>
      </c>
    </row>
    <row r="410" spans="1:244" x14ac:dyDescent="0.25">
      <c r="A410" s="18"/>
      <c r="B410" s="44"/>
      <c r="C410" s="42"/>
      <c r="D410" s="47"/>
      <c r="E410" s="47"/>
      <c r="F410" s="42"/>
      <c r="G410" s="42"/>
      <c r="H410" s="41"/>
      <c r="I410" s="41"/>
      <c r="J410" s="42"/>
      <c r="K410" s="42"/>
      <c r="L410" s="41"/>
    </row>
    <row r="411" spans="1:244" ht="13" x14ac:dyDescent="0.25">
      <c r="A411" s="48"/>
      <c r="B411" s="49" t="s">
        <v>57</v>
      </c>
      <c r="C411" s="41"/>
      <c r="D411" s="1"/>
      <c r="E411" s="50"/>
      <c r="F411" s="50">
        <f>SUM(F376:F410)</f>
        <v>0</v>
      </c>
      <c r="G411" s="50"/>
      <c r="H411" s="50"/>
      <c r="I411" s="50"/>
      <c r="J411" s="50">
        <f>CEILING(SUM(J376:J410)*1.1,100)</f>
        <v>0</v>
      </c>
      <c r="K411" s="50">
        <f>CEILING(SUM(K376:K410)*1.1,100)</f>
        <v>0</v>
      </c>
      <c r="L411" s="50">
        <f>J411+K411</f>
        <v>0</v>
      </c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  <c r="CH411" s="10"/>
      <c r="CI411" s="10"/>
      <c r="CJ411" s="10"/>
      <c r="CK411" s="10"/>
      <c r="CL411" s="10"/>
      <c r="CM411" s="10"/>
      <c r="CN411" s="10"/>
      <c r="CO411" s="10"/>
      <c r="CP411" s="10"/>
      <c r="CQ411" s="10"/>
      <c r="CR411" s="10"/>
      <c r="CS411" s="10"/>
      <c r="CT411" s="10"/>
      <c r="CU411" s="10"/>
      <c r="CV411" s="10"/>
      <c r="CW411" s="10"/>
      <c r="CX411" s="10"/>
      <c r="CY411" s="10"/>
      <c r="CZ411" s="10"/>
      <c r="DA411" s="10"/>
      <c r="DB411" s="10"/>
      <c r="DC411" s="10"/>
      <c r="DD411" s="10"/>
      <c r="DE411" s="10"/>
      <c r="DF411" s="10"/>
      <c r="DG411" s="10"/>
      <c r="DH411" s="10"/>
      <c r="DI411" s="10"/>
      <c r="DJ411" s="10"/>
      <c r="DK411" s="10"/>
      <c r="DL411" s="10"/>
      <c r="DM411" s="10"/>
      <c r="DN411" s="10"/>
      <c r="DO411" s="10"/>
      <c r="DP411" s="10"/>
      <c r="DQ411" s="10"/>
      <c r="DR411" s="10"/>
      <c r="DS411" s="10"/>
      <c r="DT411" s="10"/>
      <c r="DU411" s="10"/>
      <c r="DV411" s="10"/>
      <c r="DW411" s="10"/>
      <c r="DX411" s="10"/>
      <c r="DY411" s="10"/>
      <c r="DZ411" s="10"/>
      <c r="EA411" s="10"/>
      <c r="EB411" s="10"/>
      <c r="EC411" s="10"/>
      <c r="ED411" s="10"/>
      <c r="EE411" s="10"/>
      <c r="EF411" s="10"/>
      <c r="EG411" s="10"/>
      <c r="EH411" s="10"/>
      <c r="EI411" s="10"/>
      <c r="EJ411" s="10"/>
      <c r="EK411" s="10"/>
      <c r="EL411" s="10"/>
      <c r="EM411" s="10"/>
      <c r="EN411" s="10"/>
      <c r="EO411" s="10"/>
      <c r="EP411" s="10"/>
      <c r="EQ411" s="10"/>
      <c r="ER411" s="10"/>
      <c r="ES411" s="10"/>
      <c r="ET411" s="10"/>
      <c r="EU411" s="10"/>
      <c r="EV411" s="10"/>
      <c r="EW411" s="10"/>
      <c r="EX411" s="10"/>
      <c r="EY411" s="10"/>
      <c r="EZ411" s="10"/>
      <c r="FA411" s="10"/>
      <c r="FB411" s="10"/>
      <c r="FC411" s="10"/>
      <c r="FD411" s="10"/>
      <c r="FE411" s="10"/>
      <c r="FF411" s="10"/>
      <c r="FG411" s="10"/>
      <c r="FH411" s="10"/>
      <c r="FI411" s="10"/>
      <c r="FJ411" s="10"/>
      <c r="FK411" s="10"/>
      <c r="FL411" s="10"/>
      <c r="FM411" s="10"/>
      <c r="FN411" s="10"/>
      <c r="FO411" s="10"/>
      <c r="FP411" s="10"/>
      <c r="FQ411" s="10"/>
      <c r="FR411" s="10"/>
      <c r="FS411" s="10"/>
      <c r="FT411" s="10"/>
      <c r="FU411" s="10"/>
      <c r="FV411" s="10"/>
      <c r="FW411" s="10"/>
      <c r="FX411" s="10"/>
      <c r="FY411" s="10"/>
      <c r="FZ411" s="10"/>
      <c r="GA411" s="10"/>
      <c r="GB411" s="10"/>
      <c r="GC411" s="10"/>
      <c r="GD411" s="10"/>
      <c r="GE411" s="10"/>
      <c r="GF411" s="10"/>
      <c r="GG411" s="10"/>
      <c r="GH411" s="10"/>
      <c r="GI411" s="10"/>
      <c r="GJ411" s="10"/>
      <c r="GK411" s="10"/>
      <c r="GL411" s="10"/>
      <c r="GM411" s="10"/>
      <c r="GN411" s="10"/>
      <c r="GO411" s="10"/>
      <c r="GP411" s="10"/>
      <c r="GQ411" s="10"/>
      <c r="GR411" s="10"/>
      <c r="GS411" s="10"/>
      <c r="GT411" s="10"/>
      <c r="GU411" s="10"/>
      <c r="GV411" s="10"/>
      <c r="GW411" s="10"/>
      <c r="GX411" s="10"/>
      <c r="GY411" s="10"/>
      <c r="GZ411" s="10"/>
      <c r="HA411" s="10"/>
      <c r="HB411" s="10"/>
      <c r="HC411" s="10"/>
      <c r="HD411" s="10"/>
      <c r="HE411" s="10"/>
      <c r="HF411" s="10"/>
      <c r="HG411" s="10"/>
      <c r="HH411" s="10"/>
      <c r="HI411" s="10"/>
      <c r="HJ411" s="10"/>
      <c r="HK411" s="10"/>
      <c r="HL411" s="10"/>
      <c r="HM411" s="10"/>
      <c r="HN411" s="10"/>
      <c r="HO411" s="10"/>
      <c r="HP411" s="10"/>
      <c r="HQ411" s="10"/>
      <c r="HR411" s="10"/>
      <c r="HS411" s="10"/>
      <c r="HT411" s="10"/>
      <c r="HU411" s="10"/>
      <c r="HV411" s="10"/>
      <c r="HW411" s="10"/>
      <c r="HX411" s="10"/>
      <c r="HY411" s="10"/>
      <c r="HZ411" s="10"/>
      <c r="IA411" s="10"/>
      <c r="IB411" s="10"/>
      <c r="IC411" s="10"/>
      <c r="ID411" s="10"/>
      <c r="IE411" s="10"/>
      <c r="IF411" s="10"/>
      <c r="IG411" s="10"/>
      <c r="IH411" s="10"/>
      <c r="II411" s="10"/>
      <c r="IJ411" s="10"/>
    </row>
    <row r="412" spans="1:244" s="84" customFormat="1" ht="13" x14ac:dyDescent="0.25">
      <c r="A412" s="18"/>
      <c r="B412" s="5"/>
      <c r="C412" s="12"/>
      <c r="D412" s="12"/>
      <c r="E412" s="12"/>
      <c r="F412" s="12"/>
      <c r="G412" s="12"/>
      <c r="H412" s="11"/>
      <c r="I412" s="11"/>
      <c r="J412" s="11"/>
      <c r="K412" s="11"/>
      <c r="L412" s="11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  <c r="CB412" s="3"/>
      <c r="CC412" s="3"/>
      <c r="CD412" s="3"/>
      <c r="CE412" s="3"/>
      <c r="CF412" s="3"/>
      <c r="CG412" s="3"/>
      <c r="CH412" s="3"/>
      <c r="CI412" s="3"/>
      <c r="CJ412" s="3"/>
      <c r="CK412" s="3"/>
      <c r="CL412" s="3"/>
      <c r="CM412" s="3"/>
      <c r="CN412" s="3"/>
      <c r="CO412" s="3"/>
      <c r="CP412" s="3"/>
      <c r="CQ412" s="3"/>
      <c r="CR412" s="3"/>
      <c r="CS412" s="3"/>
      <c r="CT412" s="3"/>
      <c r="CU412" s="3"/>
      <c r="CV412" s="3"/>
      <c r="CW412" s="3"/>
      <c r="CX412" s="3"/>
      <c r="CY412" s="3"/>
      <c r="CZ412" s="3"/>
      <c r="DA412" s="3"/>
      <c r="DB412" s="3"/>
      <c r="DC412" s="3"/>
      <c r="DD412" s="3"/>
      <c r="DE412" s="3"/>
      <c r="DF412" s="3"/>
      <c r="DG412" s="3"/>
      <c r="DH412" s="3"/>
      <c r="DI412" s="3"/>
      <c r="DJ412" s="3"/>
      <c r="DK412" s="3"/>
      <c r="DL412" s="3"/>
      <c r="DM412" s="3"/>
      <c r="DN412" s="3"/>
      <c r="DO412" s="3"/>
      <c r="DP412" s="3"/>
      <c r="DQ412" s="3"/>
      <c r="DR412" s="3"/>
      <c r="DS412" s="3"/>
      <c r="DT412" s="3"/>
      <c r="DU412" s="3"/>
      <c r="DV412" s="3"/>
      <c r="DW412" s="3"/>
      <c r="DX412" s="3"/>
      <c r="DY412" s="3"/>
      <c r="DZ412" s="3"/>
      <c r="EA412" s="3"/>
      <c r="EB412" s="3"/>
      <c r="EC412" s="3"/>
      <c r="ED412" s="3"/>
      <c r="EE412" s="3"/>
      <c r="EF412" s="3"/>
      <c r="EG412" s="3"/>
      <c r="EH412" s="3"/>
      <c r="EI412" s="3"/>
      <c r="EJ412" s="3"/>
      <c r="EK412" s="3"/>
      <c r="EL412" s="3"/>
      <c r="EM412" s="3"/>
      <c r="EN412" s="3"/>
      <c r="EO412" s="3"/>
      <c r="EP412" s="3"/>
      <c r="EQ412" s="3"/>
      <c r="ER412" s="3"/>
      <c r="ES412" s="3"/>
      <c r="ET412" s="3"/>
      <c r="EU412" s="3"/>
      <c r="EV412" s="3"/>
      <c r="EW412" s="3"/>
      <c r="EX412" s="3"/>
      <c r="EY412" s="3"/>
      <c r="EZ412" s="3"/>
      <c r="FA412" s="3"/>
      <c r="FB412" s="3"/>
      <c r="FC412" s="3"/>
      <c r="FD412" s="3"/>
      <c r="FE412" s="3"/>
      <c r="FF412" s="3"/>
      <c r="FG412" s="3"/>
      <c r="FH412" s="3"/>
      <c r="FI412" s="3"/>
      <c r="FJ412" s="3"/>
      <c r="FK412" s="3"/>
      <c r="FL412" s="3"/>
      <c r="FM412" s="3"/>
      <c r="FN412" s="3"/>
      <c r="FO412" s="3"/>
      <c r="FP412" s="3"/>
      <c r="FQ412" s="3"/>
      <c r="FR412" s="3"/>
      <c r="FS412" s="3"/>
      <c r="FT412" s="3"/>
      <c r="FU412" s="3"/>
      <c r="FV412" s="3"/>
      <c r="FW412" s="3"/>
      <c r="FX412" s="3"/>
      <c r="FY412" s="3"/>
      <c r="FZ412" s="3"/>
      <c r="GA412" s="3"/>
      <c r="GB412" s="3"/>
      <c r="GC412" s="3"/>
      <c r="GD412" s="3"/>
      <c r="GE412" s="3"/>
      <c r="GF412" s="3"/>
      <c r="GG412" s="3"/>
      <c r="GH412" s="3"/>
      <c r="GI412" s="3"/>
      <c r="GJ412" s="3"/>
      <c r="GK412" s="3"/>
      <c r="GL412" s="3"/>
      <c r="GM412" s="3"/>
      <c r="GN412" s="3"/>
      <c r="GO412" s="3"/>
      <c r="GP412" s="3"/>
      <c r="GQ412" s="3"/>
      <c r="GR412" s="3"/>
      <c r="GS412" s="3"/>
      <c r="GT412" s="3"/>
      <c r="GU412" s="3"/>
      <c r="GV412" s="3"/>
      <c r="GW412" s="3"/>
      <c r="GX412" s="3"/>
      <c r="GY412" s="3"/>
      <c r="GZ412" s="3"/>
      <c r="HA412" s="3"/>
      <c r="HB412" s="3"/>
      <c r="HC412" s="3"/>
      <c r="HD412" s="3"/>
      <c r="HE412" s="3"/>
      <c r="HF412" s="3"/>
      <c r="HG412" s="3"/>
      <c r="HH412" s="3"/>
      <c r="HI412" s="3"/>
      <c r="HJ412" s="3"/>
      <c r="HK412" s="3"/>
      <c r="HL412" s="3"/>
      <c r="HM412" s="3"/>
      <c r="HN412" s="3"/>
      <c r="HO412" s="3"/>
      <c r="HP412" s="3"/>
      <c r="HQ412" s="3"/>
      <c r="HR412" s="3"/>
      <c r="HS412" s="3"/>
      <c r="HT412" s="3"/>
      <c r="HU412" s="3"/>
      <c r="HV412" s="3"/>
      <c r="HW412" s="3"/>
      <c r="HX412" s="3"/>
      <c r="HY412" s="3"/>
      <c r="HZ412" s="3"/>
      <c r="IA412" s="3"/>
      <c r="IB412" s="3"/>
      <c r="IC412" s="3"/>
      <c r="ID412" s="3"/>
      <c r="IE412" s="3"/>
      <c r="IF412" s="3"/>
      <c r="IG412" s="3"/>
      <c r="IH412" s="3"/>
      <c r="II412" s="3"/>
      <c r="IJ412" s="3"/>
    </row>
    <row r="413" spans="1:244" s="43" customFormat="1" ht="13" x14ac:dyDescent="0.25">
      <c r="A413" s="95" t="s">
        <v>105</v>
      </c>
      <c r="B413" s="5" t="s">
        <v>72</v>
      </c>
      <c r="C413" s="12"/>
      <c r="D413" s="12"/>
      <c r="E413" s="12"/>
      <c r="F413" s="12"/>
      <c r="G413" s="12"/>
      <c r="H413" s="11"/>
      <c r="I413" s="11"/>
      <c r="J413" s="11"/>
      <c r="K413" s="11"/>
      <c r="L413" s="11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  <c r="CB413" s="3"/>
      <c r="CC413" s="3"/>
      <c r="CD413" s="3"/>
      <c r="CE413" s="3"/>
      <c r="CF413" s="3"/>
      <c r="CG413" s="3"/>
      <c r="CH413" s="3"/>
      <c r="CI413" s="3"/>
      <c r="CJ413" s="3"/>
      <c r="CK413" s="3"/>
      <c r="CL413" s="3"/>
      <c r="CM413" s="3"/>
      <c r="CN413" s="3"/>
      <c r="CO413" s="3"/>
      <c r="CP413" s="3"/>
      <c r="CQ413" s="3"/>
      <c r="CR413" s="3"/>
      <c r="CS413" s="3"/>
      <c r="CT413" s="3"/>
      <c r="CU413" s="3"/>
      <c r="CV413" s="3"/>
      <c r="CW413" s="3"/>
      <c r="CX413" s="3"/>
      <c r="CY413" s="3"/>
      <c r="CZ413" s="3"/>
      <c r="DA413" s="3"/>
      <c r="DB413" s="3"/>
      <c r="DC413" s="3"/>
      <c r="DD413" s="3"/>
      <c r="DE413" s="3"/>
      <c r="DF413" s="3"/>
      <c r="DG413" s="3"/>
      <c r="DH413" s="3"/>
      <c r="DI413" s="3"/>
      <c r="DJ413" s="3"/>
      <c r="DK413" s="3"/>
      <c r="DL413" s="3"/>
      <c r="DM413" s="3"/>
      <c r="DN413" s="3"/>
      <c r="DO413" s="3"/>
      <c r="DP413" s="3"/>
      <c r="DQ413" s="3"/>
      <c r="DR413" s="3"/>
      <c r="DS413" s="3"/>
      <c r="DT413" s="3"/>
      <c r="DU413" s="3"/>
      <c r="DV413" s="3"/>
      <c r="DW413" s="3"/>
      <c r="DX413" s="3"/>
      <c r="DY413" s="3"/>
      <c r="DZ413" s="3"/>
      <c r="EA413" s="3"/>
      <c r="EB413" s="3"/>
      <c r="EC413" s="3"/>
      <c r="ED413" s="3"/>
      <c r="EE413" s="3"/>
      <c r="EF413" s="3"/>
      <c r="EG413" s="3"/>
      <c r="EH413" s="3"/>
      <c r="EI413" s="3"/>
      <c r="EJ413" s="3"/>
      <c r="EK413" s="3"/>
      <c r="EL413" s="3"/>
      <c r="EM413" s="3"/>
      <c r="EN413" s="3"/>
      <c r="EO413" s="3"/>
      <c r="EP413" s="3"/>
      <c r="EQ413" s="3"/>
      <c r="ER413" s="3"/>
      <c r="ES413" s="3"/>
      <c r="ET413" s="3"/>
      <c r="EU413" s="3"/>
      <c r="EV413" s="3"/>
      <c r="EW413" s="3"/>
      <c r="EX413" s="3"/>
      <c r="EY413" s="3"/>
      <c r="EZ413" s="3"/>
      <c r="FA413" s="3"/>
      <c r="FB413" s="3"/>
      <c r="FC413" s="3"/>
      <c r="FD413" s="3"/>
      <c r="FE413" s="3"/>
      <c r="FF413" s="3"/>
      <c r="FG413" s="3"/>
      <c r="FH413" s="3"/>
      <c r="FI413" s="3"/>
      <c r="FJ413" s="3"/>
      <c r="FK413" s="3"/>
      <c r="FL413" s="3"/>
      <c r="FM413" s="3"/>
      <c r="FN413" s="3"/>
      <c r="FO413" s="3"/>
      <c r="FP413" s="3"/>
      <c r="FQ413" s="3"/>
      <c r="FR413" s="3"/>
      <c r="FS413" s="3"/>
      <c r="FT413" s="3"/>
      <c r="FU413" s="3"/>
      <c r="FV413" s="3"/>
      <c r="FW413" s="3"/>
      <c r="FX413" s="3"/>
      <c r="FY413" s="3"/>
      <c r="FZ413" s="3"/>
      <c r="GA413" s="3"/>
      <c r="GB413" s="3"/>
      <c r="GC413" s="3"/>
      <c r="GD413" s="3"/>
      <c r="GE413" s="3"/>
      <c r="GF413" s="3"/>
      <c r="GG413" s="3"/>
      <c r="GH413" s="3"/>
      <c r="GI413" s="3"/>
      <c r="GJ413" s="3"/>
      <c r="GK413" s="3"/>
      <c r="GL413" s="3"/>
      <c r="GM413" s="3"/>
      <c r="GN413" s="3"/>
      <c r="GO413" s="3"/>
      <c r="GP413" s="3"/>
      <c r="GQ413" s="3"/>
      <c r="GR413" s="3"/>
      <c r="GS413" s="3"/>
      <c r="GT413" s="3"/>
      <c r="GU413" s="3"/>
      <c r="GV413" s="3"/>
      <c r="GW413" s="3"/>
      <c r="GX413" s="3"/>
      <c r="GY413" s="3"/>
      <c r="GZ413" s="3"/>
      <c r="HA413" s="3"/>
      <c r="HB413" s="3"/>
      <c r="HC413" s="3"/>
      <c r="HD413" s="3"/>
      <c r="HE413" s="3"/>
      <c r="HF413" s="3"/>
      <c r="HG413" s="3"/>
      <c r="HH413" s="3"/>
      <c r="HI413" s="3"/>
      <c r="HJ413" s="3"/>
      <c r="HK413" s="3"/>
      <c r="HL413" s="3"/>
      <c r="HM413" s="3"/>
      <c r="HN413" s="3"/>
      <c r="HO413" s="3"/>
      <c r="HP413" s="3"/>
      <c r="HQ413" s="3"/>
      <c r="HR413" s="3"/>
      <c r="HS413" s="3"/>
      <c r="HT413" s="3"/>
      <c r="HU413" s="3"/>
      <c r="HV413" s="3"/>
      <c r="HW413" s="3"/>
      <c r="HX413" s="3"/>
      <c r="HY413" s="3"/>
      <c r="HZ413" s="3"/>
      <c r="IA413" s="3"/>
      <c r="IB413" s="3"/>
      <c r="IC413" s="3"/>
      <c r="ID413" s="3"/>
      <c r="IE413" s="3"/>
      <c r="IF413" s="3"/>
      <c r="IG413" s="3"/>
      <c r="IH413" s="3"/>
      <c r="II413" s="3"/>
      <c r="IJ413" s="3"/>
    </row>
    <row r="414" spans="1:244" s="43" customFormat="1" ht="25" x14ac:dyDescent="0.25">
      <c r="A414" s="54"/>
      <c r="B414" s="44" t="s">
        <v>114</v>
      </c>
      <c r="C414" s="41" t="s">
        <v>53</v>
      </c>
      <c r="D414" s="41">
        <f>3</f>
        <v>3</v>
      </c>
      <c r="E414" s="55">
        <f>800*0.2*0.5*0.05</f>
        <v>4</v>
      </c>
      <c r="F414" s="41">
        <f>D414*E414</f>
        <v>12</v>
      </c>
      <c r="G414" s="41" t="s">
        <v>53</v>
      </c>
      <c r="H414" s="41">
        <v>0</v>
      </c>
      <c r="I414" s="41">
        <v>0</v>
      </c>
      <c r="J414" s="41">
        <f>$D414*H414</f>
        <v>0</v>
      </c>
      <c r="K414" s="41">
        <f t="shared" ref="K414" si="128">$D414*I414</f>
        <v>0</v>
      </c>
      <c r="L414" s="41">
        <f t="shared" ref="L414:L418" si="129">J414+K414</f>
        <v>0</v>
      </c>
      <c r="M414" s="81"/>
      <c r="N414" s="81"/>
      <c r="O414" s="81"/>
      <c r="P414" s="81"/>
      <c r="Q414" s="81"/>
      <c r="R414" s="81"/>
      <c r="S414" s="81"/>
      <c r="T414" s="81"/>
      <c r="U414" s="81"/>
      <c r="V414" s="81"/>
      <c r="W414" s="81"/>
      <c r="X414" s="81"/>
      <c r="Y414" s="81"/>
      <c r="Z414" s="81"/>
      <c r="AA414" s="81"/>
      <c r="AB414" s="81"/>
      <c r="AC414" s="81"/>
      <c r="AD414" s="81"/>
      <c r="AE414" s="81"/>
      <c r="AF414" s="81"/>
      <c r="AG414" s="81"/>
      <c r="AH414" s="81"/>
      <c r="AI414" s="81"/>
      <c r="AJ414" s="81"/>
      <c r="AK414" s="81"/>
      <c r="AL414" s="81"/>
      <c r="AM414" s="81"/>
      <c r="AN414" s="81"/>
      <c r="AO414" s="81"/>
      <c r="AP414" s="81"/>
      <c r="AQ414" s="81"/>
      <c r="AR414" s="81"/>
      <c r="AS414" s="81"/>
      <c r="AT414" s="81"/>
      <c r="AU414" s="81"/>
      <c r="AV414" s="81"/>
      <c r="AW414" s="81"/>
      <c r="AX414" s="81"/>
      <c r="AY414" s="81"/>
      <c r="AZ414" s="81"/>
      <c r="BA414" s="81"/>
      <c r="BB414" s="81"/>
      <c r="BC414" s="81"/>
      <c r="BD414" s="81"/>
      <c r="BE414" s="81"/>
      <c r="BF414" s="81"/>
      <c r="BG414" s="81"/>
      <c r="BH414" s="81"/>
      <c r="BI414" s="81"/>
      <c r="BJ414" s="81"/>
      <c r="BK414" s="81"/>
      <c r="BL414" s="81"/>
      <c r="BM414" s="81"/>
      <c r="BN414" s="81"/>
      <c r="BO414" s="81"/>
      <c r="BP414" s="81"/>
      <c r="BQ414" s="81"/>
      <c r="BR414" s="81"/>
      <c r="BS414" s="81"/>
      <c r="BT414" s="81"/>
      <c r="BU414" s="81"/>
      <c r="BV414" s="81"/>
      <c r="BW414" s="81"/>
      <c r="BX414" s="81"/>
      <c r="BY414" s="81"/>
      <c r="BZ414" s="81"/>
      <c r="CA414" s="81"/>
      <c r="CB414" s="81"/>
      <c r="CC414" s="81"/>
      <c r="CD414" s="81"/>
      <c r="CE414" s="81"/>
      <c r="CF414" s="81"/>
      <c r="CG414" s="81"/>
      <c r="CH414" s="81"/>
      <c r="CI414" s="81"/>
      <c r="CJ414" s="81"/>
      <c r="CK414" s="81"/>
      <c r="CL414" s="81"/>
      <c r="CM414" s="81"/>
      <c r="CN414" s="81"/>
      <c r="CO414" s="81"/>
      <c r="CP414" s="81"/>
      <c r="CQ414" s="81"/>
      <c r="CR414" s="81"/>
      <c r="CS414" s="81"/>
      <c r="CT414" s="81"/>
      <c r="CU414" s="81"/>
      <c r="CV414" s="81"/>
      <c r="CW414" s="81"/>
      <c r="CX414" s="81"/>
      <c r="CY414" s="81"/>
      <c r="CZ414" s="81"/>
      <c r="DA414" s="81"/>
      <c r="DB414" s="81"/>
      <c r="DC414" s="81"/>
      <c r="DD414" s="81"/>
      <c r="DE414" s="81"/>
      <c r="DF414" s="81"/>
      <c r="DG414" s="81"/>
      <c r="DH414" s="81"/>
      <c r="DI414" s="81"/>
      <c r="DJ414" s="81"/>
      <c r="DK414" s="81"/>
      <c r="DL414" s="81"/>
      <c r="DM414" s="81"/>
      <c r="DN414" s="81"/>
      <c r="DO414" s="81"/>
      <c r="DP414" s="81"/>
      <c r="DQ414" s="81"/>
      <c r="DR414" s="81"/>
      <c r="DS414" s="81"/>
      <c r="DT414" s="81"/>
      <c r="DU414" s="81"/>
      <c r="DV414" s="81"/>
      <c r="DW414" s="81"/>
      <c r="DX414" s="81"/>
      <c r="DY414" s="81"/>
      <c r="DZ414" s="81"/>
      <c r="EA414" s="81"/>
      <c r="EB414" s="81"/>
      <c r="EC414" s="81"/>
      <c r="ED414" s="81"/>
      <c r="EE414" s="81"/>
      <c r="EF414" s="81"/>
      <c r="EG414" s="81"/>
      <c r="EH414" s="81"/>
      <c r="EI414" s="81"/>
      <c r="EJ414" s="81"/>
      <c r="EK414" s="81"/>
      <c r="EL414" s="81"/>
      <c r="EM414" s="81"/>
      <c r="EN414" s="81"/>
      <c r="EO414" s="81"/>
      <c r="EP414" s="81"/>
      <c r="EQ414" s="81"/>
      <c r="ER414" s="81"/>
      <c r="ES414" s="81"/>
      <c r="ET414" s="81"/>
      <c r="EU414" s="81"/>
      <c r="EV414" s="81"/>
      <c r="EW414" s="81"/>
      <c r="EX414" s="81"/>
      <c r="EY414" s="81"/>
      <c r="EZ414" s="81"/>
      <c r="FA414" s="81"/>
      <c r="FB414" s="81"/>
      <c r="FC414" s="81"/>
      <c r="FD414" s="81"/>
      <c r="FE414" s="81"/>
      <c r="FF414" s="81"/>
      <c r="FG414" s="81"/>
      <c r="FH414" s="81"/>
      <c r="FI414" s="81"/>
      <c r="FJ414" s="81"/>
      <c r="FK414" s="81"/>
      <c r="FL414" s="81"/>
      <c r="FM414" s="81"/>
      <c r="FN414" s="81"/>
      <c r="FO414" s="81"/>
      <c r="FP414" s="81"/>
      <c r="FQ414" s="81"/>
      <c r="FR414" s="81"/>
      <c r="FS414" s="81"/>
      <c r="FT414" s="81"/>
      <c r="FU414" s="81"/>
      <c r="FV414" s="81"/>
      <c r="FW414" s="81"/>
      <c r="FX414" s="81"/>
      <c r="FY414" s="81"/>
      <c r="FZ414" s="81"/>
      <c r="GA414" s="81"/>
      <c r="GB414" s="81"/>
      <c r="GC414" s="81"/>
      <c r="GD414" s="81"/>
      <c r="GE414" s="81"/>
      <c r="GF414" s="81"/>
      <c r="GG414" s="81"/>
      <c r="GH414" s="81"/>
      <c r="GI414" s="81"/>
      <c r="GJ414" s="81"/>
      <c r="GK414" s="81"/>
      <c r="GL414" s="81"/>
      <c r="GM414" s="81"/>
      <c r="GN414" s="81"/>
      <c r="GO414" s="81"/>
      <c r="GP414" s="81"/>
      <c r="GQ414" s="81"/>
      <c r="GR414" s="81"/>
      <c r="GS414" s="81"/>
      <c r="GT414" s="81"/>
      <c r="GU414" s="81"/>
      <c r="GV414" s="81"/>
      <c r="GW414" s="81"/>
      <c r="GX414" s="81"/>
      <c r="GY414" s="81"/>
      <c r="GZ414" s="81"/>
      <c r="HA414" s="81"/>
      <c r="HB414" s="81"/>
      <c r="HC414" s="81"/>
      <c r="HD414" s="81"/>
      <c r="HE414" s="81"/>
      <c r="HF414" s="81"/>
      <c r="HG414" s="81"/>
      <c r="HH414" s="81"/>
      <c r="HI414" s="81"/>
      <c r="HJ414" s="81"/>
      <c r="HK414" s="81"/>
      <c r="HL414" s="81"/>
      <c r="HM414" s="81"/>
      <c r="HN414" s="81"/>
      <c r="HO414" s="81"/>
      <c r="HP414" s="81"/>
      <c r="HQ414" s="81"/>
      <c r="HR414" s="81"/>
      <c r="HS414" s="81"/>
      <c r="HT414" s="81"/>
      <c r="HU414" s="81"/>
      <c r="HV414" s="81"/>
      <c r="HW414" s="81"/>
      <c r="HX414" s="81"/>
      <c r="HY414" s="81"/>
      <c r="HZ414" s="81"/>
      <c r="IA414" s="81"/>
      <c r="IB414" s="81"/>
      <c r="IC414" s="81"/>
      <c r="ID414" s="81"/>
      <c r="IE414" s="81"/>
      <c r="IF414" s="81"/>
      <c r="IG414" s="81"/>
      <c r="IH414" s="81"/>
      <c r="II414" s="81"/>
      <c r="IJ414" s="81"/>
    </row>
    <row r="415" spans="1:244" s="43" customFormat="1" x14ac:dyDescent="0.25">
      <c r="A415" s="59"/>
      <c r="B415" s="9" t="s">
        <v>73</v>
      </c>
      <c r="C415" s="12" t="s">
        <v>14</v>
      </c>
      <c r="D415" s="12">
        <v>1</v>
      </c>
      <c r="E415" s="60">
        <f>CEILING((SUM(D174:D185)+SUM(D218:D226)+SUM(D255:D257)+D264+D265+SUM(D279:D282)+SUM(D308:D310)+D367)/2*1.25*8.59,5)</f>
        <v>1760</v>
      </c>
      <c r="F415" s="12">
        <f>D415*E415</f>
        <v>1760</v>
      </c>
      <c r="G415" s="12" t="s">
        <v>74</v>
      </c>
      <c r="H415" s="11">
        <v>0</v>
      </c>
      <c r="I415" s="11">
        <v>0</v>
      </c>
      <c r="J415" s="11">
        <f>$F415*H415</f>
        <v>0</v>
      </c>
      <c r="K415" s="11">
        <f>$F415*I415</f>
        <v>0</v>
      </c>
      <c r="L415" s="11">
        <f t="shared" si="129"/>
        <v>0</v>
      </c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  <c r="CB415" s="3"/>
      <c r="CC415" s="3"/>
      <c r="CD415" s="3"/>
      <c r="CE415" s="3"/>
      <c r="CF415" s="3"/>
      <c r="CG415" s="3"/>
      <c r="CH415" s="3"/>
      <c r="CI415" s="3"/>
      <c r="CJ415" s="3"/>
      <c r="CK415" s="3"/>
      <c r="CL415" s="3"/>
      <c r="CM415" s="3"/>
      <c r="CN415" s="3"/>
      <c r="CO415" s="3"/>
      <c r="CP415" s="3"/>
      <c r="CQ415" s="3"/>
      <c r="CR415" s="3"/>
      <c r="CS415" s="3"/>
      <c r="CT415" s="3"/>
      <c r="CU415" s="3"/>
      <c r="CV415" s="3"/>
      <c r="CW415" s="3"/>
      <c r="CX415" s="3"/>
      <c r="CY415" s="3"/>
      <c r="CZ415" s="3"/>
      <c r="DA415" s="3"/>
      <c r="DB415" s="3"/>
      <c r="DC415" s="3"/>
      <c r="DD415" s="3"/>
      <c r="DE415" s="3"/>
      <c r="DF415" s="3"/>
      <c r="DG415" s="3"/>
      <c r="DH415" s="3"/>
      <c r="DI415" s="3"/>
      <c r="DJ415" s="3"/>
      <c r="DK415" s="3"/>
      <c r="DL415" s="3"/>
      <c r="DM415" s="3"/>
      <c r="DN415" s="3"/>
      <c r="DO415" s="3"/>
      <c r="DP415" s="3"/>
      <c r="DQ415" s="3"/>
      <c r="DR415" s="3"/>
      <c r="DS415" s="3"/>
      <c r="DT415" s="3"/>
      <c r="DU415" s="3"/>
      <c r="DV415" s="3"/>
      <c r="DW415" s="3"/>
      <c r="DX415" s="3"/>
      <c r="DY415" s="3"/>
      <c r="DZ415" s="3"/>
      <c r="EA415" s="3"/>
      <c r="EB415" s="3"/>
      <c r="EC415" s="3"/>
      <c r="ED415" s="3"/>
      <c r="EE415" s="3"/>
      <c r="EF415" s="3"/>
      <c r="EG415" s="3"/>
      <c r="EH415" s="3"/>
      <c r="EI415" s="3"/>
      <c r="EJ415" s="3"/>
      <c r="EK415" s="3"/>
      <c r="EL415" s="3"/>
      <c r="EM415" s="3"/>
      <c r="EN415" s="3"/>
      <c r="EO415" s="3"/>
      <c r="EP415" s="3"/>
      <c r="EQ415" s="3"/>
      <c r="ER415" s="3"/>
      <c r="ES415" s="3"/>
      <c r="ET415" s="3"/>
      <c r="EU415" s="3"/>
      <c r="EV415" s="3"/>
      <c r="EW415" s="3"/>
      <c r="EX415" s="3"/>
      <c r="EY415" s="3"/>
      <c r="EZ415" s="3"/>
      <c r="FA415" s="3"/>
      <c r="FB415" s="3"/>
      <c r="FC415" s="3"/>
      <c r="FD415" s="3"/>
      <c r="FE415" s="3"/>
      <c r="FF415" s="3"/>
      <c r="FG415" s="3"/>
      <c r="FH415" s="3"/>
      <c r="FI415" s="3"/>
      <c r="FJ415" s="3"/>
      <c r="FK415" s="3"/>
      <c r="FL415" s="3"/>
      <c r="FM415" s="3"/>
      <c r="FN415" s="3"/>
      <c r="FO415" s="3"/>
      <c r="FP415" s="3"/>
      <c r="FQ415" s="3"/>
      <c r="FR415" s="3"/>
      <c r="FS415" s="3"/>
      <c r="FT415" s="3"/>
      <c r="FU415" s="3"/>
      <c r="FV415" s="3"/>
      <c r="FW415" s="3"/>
      <c r="FX415" s="3"/>
      <c r="FY415" s="3"/>
      <c r="FZ415" s="3"/>
      <c r="GA415" s="3"/>
      <c r="GB415" s="3"/>
      <c r="GC415" s="3"/>
      <c r="GD415" s="3"/>
      <c r="GE415" s="3"/>
      <c r="GF415" s="3"/>
      <c r="GG415" s="3"/>
      <c r="GH415" s="3"/>
      <c r="GI415" s="3"/>
      <c r="GJ415" s="3"/>
      <c r="GK415" s="3"/>
      <c r="GL415" s="3"/>
      <c r="GM415" s="3"/>
      <c r="GN415" s="3"/>
      <c r="GO415" s="3"/>
      <c r="GP415" s="3"/>
      <c r="GQ415" s="3"/>
      <c r="GR415" s="3"/>
      <c r="GS415" s="3"/>
      <c r="GT415" s="3"/>
      <c r="GU415" s="3"/>
      <c r="GV415" s="3"/>
      <c r="GW415" s="3"/>
      <c r="GX415" s="3"/>
      <c r="GY415" s="3"/>
      <c r="GZ415" s="3"/>
      <c r="HA415" s="3"/>
      <c r="HB415" s="3"/>
      <c r="HC415" s="3"/>
      <c r="HD415" s="3"/>
      <c r="HE415" s="3"/>
      <c r="HF415" s="3"/>
      <c r="HG415" s="3"/>
      <c r="HH415" s="3"/>
      <c r="HI415" s="3"/>
      <c r="HJ415" s="3"/>
      <c r="HK415" s="3"/>
      <c r="HL415" s="3"/>
      <c r="HM415" s="3"/>
      <c r="HN415" s="3"/>
      <c r="HO415" s="3"/>
      <c r="HP415" s="3"/>
      <c r="HQ415" s="3"/>
      <c r="HR415" s="3"/>
      <c r="HS415" s="3"/>
      <c r="HT415" s="3"/>
      <c r="HU415" s="3"/>
      <c r="HV415" s="3"/>
      <c r="HW415" s="3"/>
      <c r="HX415" s="3"/>
      <c r="HY415" s="3"/>
      <c r="HZ415" s="3"/>
      <c r="IA415" s="3"/>
      <c r="IB415" s="3"/>
      <c r="IC415" s="3"/>
      <c r="ID415" s="3"/>
      <c r="IE415" s="3"/>
      <c r="IF415" s="3"/>
      <c r="IG415" s="3"/>
      <c r="IH415" s="3"/>
      <c r="II415" s="3"/>
      <c r="IJ415" s="3"/>
    </row>
    <row r="416" spans="1:244" ht="25" x14ac:dyDescent="0.25">
      <c r="A416" s="61"/>
      <c r="B416" s="62" t="s">
        <v>314</v>
      </c>
      <c r="C416" s="26" t="s">
        <v>53</v>
      </c>
      <c r="D416" s="12">
        <f>CEILING((SUM(D174:D185)+SUM(D255:D257)+SUM(D279:D282)+D367)/2,5)</f>
        <v>100</v>
      </c>
      <c r="E416" s="12"/>
      <c r="F416" s="26"/>
      <c r="G416" s="26" t="s">
        <v>53</v>
      </c>
      <c r="H416" s="26">
        <v>0</v>
      </c>
      <c r="I416" s="26">
        <v>0</v>
      </c>
      <c r="J416" s="26">
        <f t="shared" ref="J416:K418" si="130">$D416*H416</f>
        <v>0</v>
      </c>
      <c r="K416" s="41">
        <f t="shared" si="130"/>
        <v>0</v>
      </c>
      <c r="L416" s="26">
        <f t="shared" si="129"/>
        <v>0</v>
      </c>
    </row>
    <row r="417" spans="1:244" ht="25" x14ac:dyDescent="0.25">
      <c r="A417" s="61"/>
      <c r="B417" s="62" t="s">
        <v>75</v>
      </c>
      <c r="C417" s="26" t="s">
        <v>53</v>
      </c>
      <c r="D417" s="12">
        <f>CEILING((SUM(D218:D226)+D264+D265+SUM(D308:D310))/2,5)</f>
        <v>65</v>
      </c>
      <c r="E417" s="12"/>
      <c r="F417" s="26"/>
      <c r="G417" s="26" t="s">
        <v>53</v>
      </c>
      <c r="H417" s="26">
        <v>0</v>
      </c>
      <c r="I417" s="26">
        <v>0</v>
      </c>
      <c r="J417" s="26">
        <f t="shared" si="130"/>
        <v>0</v>
      </c>
      <c r="K417" s="41">
        <f t="shared" si="130"/>
        <v>0</v>
      </c>
      <c r="L417" s="26">
        <f t="shared" si="129"/>
        <v>0</v>
      </c>
    </row>
    <row r="418" spans="1:244" s="43" customFormat="1" x14ac:dyDescent="0.25">
      <c r="A418" s="107"/>
      <c r="B418" s="108" t="s">
        <v>366</v>
      </c>
      <c r="C418" s="45" t="s">
        <v>53</v>
      </c>
      <c r="D418" s="105">
        <f>4</f>
        <v>4</v>
      </c>
      <c r="E418" s="45"/>
      <c r="F418" s="109"/>
      <c r="G418" s="45" t="s">
        <v>53</v>
      </c>
      <c r="H418" s="42">
        <v>0</v>
      </c>
      <c r="I418" s="42">
        <v>0</v>
      </c>
      <c r="J418" s="41">
        <f t="shared" si="130"/>
        <v>0</v>
      </c>
      <c r="K418" s="41">
        <f t="shared" si="130"/>
        <v>0</v>
      </c>
      <c r="L418" s="42">
        <f t="shared" si="129"/>
        <v>0</v>
      </c>
    </row>
    <row r="419" spans="1:244" x14ac:dyDescent="0.25">
      <c r="A419" s="61"/>
      <c r="B419" s="62"/>
      <c r="C419" s="26"/>
      <c r="D419" s="12"/>
      <c r="E419" s="12"/>
      <c r="F419" s="26"/>
      <c r="G419" s="26"/>
      <c r="H419" s="26"/>
      <c r="I419" s="26"/>
      <c r="J419" s="26"/>
      <c r="K419" s="26"/>
      <c r="L419" s="26"/>
    </row>
    <row r="420" spans="1:244" s="86" customFormat="1" ht="13" x14ac:dyDescent="0.25">
      <c r="A420" s="61"/>
      <c r="B420" s="103" t="s">
        <v>341</v>
      </c>
      <c r="C420" s="26"/>
      <c r="D420" s="26"/>
      <c r="E420" s="12"/>
      <c r="F420" s="26"/>
      <c r="G420" s="26"/>
      <c r="H420" s="26"/>
      <c r="I420" s="26"/>
      <c r="J420" s="26"/>
      <c r="K420" s="26"/>
      <c r="L420" s="26"/>
    </row>
    <row r="421" spans="1:244" s="81" customFormat="1" ht="25" x14ac:dyDescent="0.25">
      <c r="A421" s="54"/>
      <c r="B421" s="98" t="s">
        <v>342</v>
      </c>
      <c r="C421" s="104" t="s">
        <v>53</v>
      </c>
      <c r="D421" s="105">
        <f>2</f>
        <v>2</v>
      </c>
      <c r="E421" s="45">
        <v>21</v>
      </c>
      <c r="F421" s="41">
        <f>D421*E421</f>
        <v>42</v>
      </c>
      <c r="G421" s="104" t="s">
        <v>53</v>
      </c>
      <c r="H421" s="41">
        <v>0</v>
      </c>
      <c r="I421" s="41">
        <v>0</v>
      </c>
      <c r="J421" s="41">
        <f>$D421*H421</f>
        <v>0</v>
      </c>
      <c r="K421" s="41"/>
      <c r="L421" s="42">
        <f>J421+K421</f>
        <v>0</v>
      </c>
    </row>
    <row r="422" spans="1:244" s="86" customFormat="1" ht="13" x14ac:dyDescent="0.25">
      <c r="A422" s="61"/>
      <c r="B422" s="103" t="s">
        <v>343</v>
      </c>
      <c r="C422" s="26"/>
      <c r="D422" s="26"/>
      <c r="E422" s="12"/>
      <c r="F422" s="26"/>
      <c r="G422" s="26"/>
      <c r="H422" s="26">
        <v>0</v>
      </c>
      <c r="I422" s="26">
        <v>0</v>
      </c>
      <c r="J422" s="26"/>
      <c r="K422" s="26"/>
      <c r="L422" s="26"/>
    </row>
    <row r="423" spans="1:244" s="81" customFormat="1" ht="25" x14ac:dyDescent="0.25">
      <c r="A423" s="54"/>
      <c r="B423" s="44" t="s">
        <v>344</v>
      </c>
      <c r="C423" s="41" t="s">
        <v>68</v>
      </c>
      <c r="D423" s="46">
        <f>CEILING((0.8+1.5)*2*2,1)</f>
        <v>10</v>
      </c>
      <c r="E423" s="45">
        <v>2.512</v>
      </c>
      <c r="F423" s="41">
        <f>D423*E423</f>
        <v>25.12</v>
      </c>
      <c r="G423" s="41" t="s">
        <v>74</v>
      </c>
      <c r="H423" s="41">
        <v>0</v>
      </c>
      <c r="I423" s="41">
        <v>0</v>
      </c>
      <c r="J423" s="41">
        <f>$F423*H423</f>
        <v>0</v>
      </c>
      <c r="K423" s="41"/>
      <c r="L423" s="41">
        <f>J423+K423</f>
        <v>0</v>
      </c>
    </row>
    <row r="424" spans="1:244" s="81" customFormat="1" ht="25" x14ac:dyDescent="0.25">
      <c r="A424" s="54"/>
      <c r="B424" s="44" t="s">
        <v>345</v>
      </c>
      <c r="C424" s="41" t="s">
        <v>68</v>
      </c>
      <c r="D424" s="46">
        <f>CEILING(4*0.8,1)</f>
        <v>4</v>
      </c>
      <c r="E424" s="45">
        <v>2.42</v>
      </c>
      <c r="F424" s="41">
        <f>D424*E424</f>
        <v>9.68</v>
      </c>
      <c r="G424" s="41" t="s">
        <v>74</v>
      </c>
      <c r="H424" s="41">
        <v>0</v>
      </c>
      <c r="I424" s="41">
        <v>0</v>
      </c>
      <c r="J424" s="41">
        <f>$F424*H424</f>
        <v>0</v>
      </c>
      <c r="K424" s="41"/>
      <c r="L424" s="41">
        <f>J424+K424</f>
        <v>0</v>
      </c>
    </row>
    <row r="425" spans="1:244" s="81" customFormat="1" ht="25" x14ac:dyDescent="0.25">
      <c r="A425" s="54"/>
      <c r="B425" s="44" t="s">
        <v>346</v>
      </c>
      <c r="C425" s="41" t="s">
        <v>68</v>
      </c>
      <c r="D425" s="46">
        <f>8*1.5</f>
        <v>12</v>
      </c>
      <c r="E425" s="45">
        <v>3.0139999999999998</v>
      </c>
      <c r="F425" s="41">
        <f>D425*E425</f>
        <v>36.167999999999999</v>
      </c>
      <c r="G425" s="41" t="s">
        <v>74</v>
      </c>
      <c r="H425" s="41">
        <v>0</v>
      </c>
      <c r="I425" s="41">
        <v>0</v>
      </c>
      <c r="J425" s="41">
        <f>$F425*H425</f>
        <v>0</v>
      </c>
      <c r="K425" s="41"/>
      <c r="L425" s="41">
        <f>J425+K425</f>
        <v>0</v>
      </c>
    </row>
    <row r="426" spans="1:244" s="81" customFormat="1" ht="25" x14ac:dyDescent="0.25">
      <c r="A426" s="54"/>
      <c r="B426" s="44" t="s">
        <v>365</v>
      </c>
      <c r="C426" s="42" t="s">
        <v>53</v>
      </c>
      <c r="D426" s="47">
        <v>1</v>
      </c>
      <c r="E426" s="42">
        <v>245</v>
      </c>
      <c r="F426" s="42">
        <f>D426*E426</f>
        <v>245</v>
      </c>
      <c r="G426" s="41" t="s">
        <v>53</v>
      </c>
      <c r="H426" s="41">
        <v>0</v>
      </c>
      <c r="I426" s="41">
        <v>0</v>
      </c>
      <c r="J426" s="42">
        <f>$D426*H426</f>
        <v>0</v>
      </c>
      <c r="K426" s="42">
        <f>$D426*I426</f>
        <v>0</v>
      </c>
      <c r="L426" s="41">
        <f>J426+K426</f>
        <v>0</v>
      </c>
    </row>
    <row r="427" spans="1:244" x14ac:dyDescent="0.25">
      <c r="A427" s="18"/>
      <c r="B427" s="44"/>
      <c r="C427" s="42"/>
      <c r="D427" s="47"/>
      <c r="E427" s="47"/>
      <c r="F427" s="42"/>
      <c r="G427" s="42"/>
      <c r="H427" s="41"/>
      <c r="I427" s="41"/>
      <c r="J427" s="42"/>
      <c r="K427" s="42"/>
      <c r="L427" s="41"/>
    </row>
    <row r="428" spans="1:244" ht="13" x14ac:dyDescent="0.25">
      <c r="A428" s="48"/>
      <c r="B428" s="49" t="s">
        <v>57</v>
      </c>
      <c r="C428" s="41"/>
      <c r="D428" s="1"/>
      <c r="E428" s="50"/>
      <c r="F428" s="50">
        <f>SUM(F413:F427)</f>
        <v>2129.9679999999998</v>
      </c>
      <c r="G428" s="50"/>
      <c r="H428" s="50"/>
      <c r="I428" s="50"/>
      <c r="J428" s="50">
        <f>CEILING(SUM(J413:J427)*1.1,100)</f>
        <v>0</v>
      </c>
      <c r="K428" s="50">
        <f>CEILING(SUM(K413:K427)*1.1,100)</f>
        <v>0</v>
      </c>
      <c r="L428" s="50">
        <f>J428+K428</f>
        <v>0</v>
      </c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  <c r="CD428" s="10"/>
      <c r="CE428" s="10"/>
      <c r="CF428" s="10"/>
      <c r="CG428" s="10"/>
      <c r="CH428" s="10"/>
      <c r="CI428" s="10"/>
      <c r="CJ428" s="10"/>
      <c r="CK428" s="10"/>
      <c r="CL428" s="10"/>
      <c r="CM428" s="10"/>
      <c r="CN428" s="10"/>
      <c r="CO428" s="10"/>
      <c r="CP428" s="10"/>
      <c r="CQ428" s="10"/>
      <c r="CR428" s="10"/>
      <c r="CS428" s="10"/>
      <c r="CT428" s="10"/>
      <c r="CU428" s="10"/>
      <c r="CV428" s="10"/>
      <c r="CW428" s="10"/>
      <c r="CX428" s="10"/>
      <c r="CY428" s="10"/>
      <c r="CZ428" s="10"/>
      <c r="DA428" s="10"/>
      <c r="DB428" s="10"/>
      <c r="DC428" s="10"/>
      <c r="DD428" s="10"/>
      <c r="DE428" s="10"/>
      <c r="DF428" s="10"/>
      <c r="DG428" s="10"/>
      <c r="DH428" s="10"/>
      <c r="DI428" s="10"/>
      <c r="DJ428" s="10"/>
      <c r="DK428" s="10"/>
      <c r="DL428" s="10"/>
      <c r="DM428" s="10"/>
      <c r="DN428" s="10"/>
      <c r="DO428" s="10"/>
      <c r="DP428" s="10"/>
      <c r="DQ428" s="10"/>
      <c r="DR428" s="10"/>
      <c r="DS428" s="10"/>
      <c r="DT428" s="10"/>
      <c r="DU428" s="10"/>
      <c r="DV428" s="10"/>
      <c r="DW428" s="10"/>
      <c r="DX428" s="10"/>
      <c r="DY428" s="10"/>
      <c r="DZ428" s="10"/>
      <c r="EA428" s="10"/>
      <c r="EB428" s="10"/>
      <c r="EC428" s="10"/>
      <c r="ED428" s="10"/>
      <c r="EE428" s="10"/>
      <c r="EF428" s="10"/>
      <c r="EG428" s="10"/>
      <c r="EH428" s="10"/>
      <c r="EI428" s="10"/>
      <c r="EJ428" s="10"/>
      <c r="EK428" s="10"/>
      <c r="EL428" s="10"/>
      <c r="EM428" s="10"/>
      <c r="EN428" s="10"/>
      <c r="EO428" s="10"/>
      <c r="EP428" s="10"/>
      <c r="EQ428" s="10"/>
      <c r="ER428" s="10"/>
      <c r="ES428" s="10"/>
      <c r="ET428" s="10"/>
      <c r="EU428" s="10"/>
      <c r="EV428" s="10"/>
      <c r="EW428" s="10"/>
      <c r="EX428" s="10"/>
      <c r="EY428" s="10"/>
      <c r="EZ428" s="10"/>
      <c r="FA428" s="10"/>
      <c r="FB428" s="10"/>
      <c r="FC428" s="10"/>
      <c r="FD428" s="10"/>
      <c r="FE428" s="10"/>
      <c r="FF428" s="10"/>
      <c r="FG428" s="10"/>
      <c r="FH428" s="10"/>
      <c r="FI428" s="10"/>
      <c r="FJ428" s="10"/>
      <c r="FK428" s="10"/>
      <c r="FL428" s="10"/>
      <c r="FM428" s="10"/>
      <c r="FN428" s="10"/>
      <c r="FO428" s="10"/>
      <c r="FP428" s="10"/>
      <c r="FQ428" s="10"/>
      <c r="FR428" s="10"/>
      <c r="FS428" s="10"/>
      <c r="FT428" s="10"/>
      <c r="FU428" s="10"/>
      <c r="FV428" s="10"/>
      <c r="FW428" s="10"/>
      <c r="FX428" s="10"/>
      <c r="FY428" s="10"/>
      <c r="FZ428" s="10"/>
      <c r="GA428" s="10"/>
      <c r="GB428" s="10"/>
      <c r="GC428" s="10"/>
      <c r="GD428" s="10"/>
      <c r="GE428" s="10"/>
      <c r="GF428" s="10"/>
      <c r="GG428" s="10"/>
      <c r="GH428" s="10"/>
      <c r="GI428" s="10"/>
      <c r="GJ428" s="10"/>
      <c r="GK428" s="10"/>
      <c r="GL428" s="10"/>
      <c r="GM428" s="10"/>
      <c r="GN428" s="10"/>
      <c r="GO428" s="10"/>
      <c r="GP428" s="10"/>
      <c r="GQ428" s="10"/>
      <c r="GR428" s="10"/>
      <c r="GS428" s="10"/>
      <c r="GT428" s="10"/>
      <c r="GU428" s="10"/>
      <c r="GV428" s="10"/>
      <c r="GW428" s="10"/>
      <c r="GX428" s="10"/>
      <c r="GY428" s="10"/>
      <c r="GZ428" s="10"/>
      <c r="HA428" s="10"/>
      <c r="HB428" s="10"/>
      <c r="HC428" s="10"/>
      <c r="HD428" s="10"/>
      <c r="HE428" s="10"/>
      <c r="HF428" s="10"/>
      <c r="HG428" s="10"/>
      <c r="HH428" s="10"/>
      <c r="HI428" s="10"/>
      <c r="HJ428" s="10"/>
      <c r="HK428" s="10"/>
      <c r="HL428" s="10"/>
      <c r="HM428" s="10"/>
      <c r="HN428" s="10"/>
      <c r="HO428" s="10"/>
      <c r="HP428" s="10"/>
      <c r="HQ428" s="10"/>
      <c r="HR428" s="10"/>
      <c r="HS428" s="10"/>
      <c r="HT428" s="10"/>
      <c r="HU428" s="10"/>
      <c r="HV428" s="10"/>
      <c r="HW428" s="10"/>
      <c r="HX428" s="10"/>
      <c r="HY428" s="10"/>
      <c r="HZ428" s="10"/>
      <c r="IA428" s="10"/>
      <c r="IB428" s="10"/>
      <c r="IC428" s="10"/>
      <c r="ID428" s="10"/>
      <c r="IE428" s="10"/>
      <c r="IF428" s="10"/>
      <c r="IG428" s="10"/>
      <c r="IH428" s="10"/>
      <c r="II428" s="10"/>
      <c r="IJ428" s="10"/>
    </row>
    <row r="429" spans="1:244" x14ac:dyDescent="0.25">
      <c r="B429" s="2"/>
      <c r="D429" s="1"/>
      <c r="E429" s="1"/>
      <c r="F429" s="1"/>
      <c r="G429" s="1"/>
      <c r="L429" s="1"/>
    </row>
    <row r="430" spans="1:244" ht="14" x14ac:dyDescent="0.25">
      <c r="A430" s="63"/>
      <c r="B430" s="64" t="s">
        <v>83</v>
      </c>
      <c r="C430" s="65"/>
      <c r="D430" s="4"/>
      <c r="E430" s="65"/>
      <c r="F430" s="65">
        <f>CEILING(F55+F85+F116+F147+F169+F374+F411+F428,10)</f>
        <v>15480</v>
      </c>
      <c r="G430" s="65"/>
      <c r="H430" s="65"/>
      <c r="I430" s="65"/>
      <c r="J430" s="65">
        <f>J55+J85+J116+J147+J169+J374+J411+J428</f>
        <v>0</v>
      </c>
      <c r="K430" s="65">
        <f>K55+K85+K116+K147+K169+K374+K411+K428</f>
        <v>0</v>
      </c>
      <c r="L430" s="65">
        <f>L55+L85+L116+L147+L169+L374+L411+L428</f>
        <v>0</v>
      </c>
      <c r="M430" s="66"/>
      <c r="N430" s="66"/>
      <c r="O430" s="66"/>
      <c r="P430" s="66"/>
      <c r="Q430" s="66"/>
      <c r="R430" s="66"/>
      <c r="S430" s="66"/>
      <c r="T430" s="66"/>
      <c r="U430" s="66"/>
      <c r="V430" s="66"/>
      <c r="W430" s="66"/>
      <c r="X430" s="66"/>
      <c r="Y430" s="66"/>
      <c r="Z430" s="66"/>
      <c r="AA430" s="66"/>
      <c r="AB430" s="66"/>
      <c r="AC430" s="66"/>
      <c r="AD430" s="66"/>
      <c r="AE430" s="66"/>
      <c r="AF430" s="66"/>
      <c r="AG430" s="66"/>
      <c r="AH430" s="66"/>
      <c r="AI430" s="66"/>
      <c r="AJ430" s="66"/>
      <c r="AK430" s="66"/>
      <c r="AL430" s="66"/>
      <c r="AM430" s="66"/>
      <c r="AN430" s="66"/>
      <c r="AO430" s="66"/>
      <c r="AP430" s="66"/>
      <c r="AQ430" s="66"/>
      <c r="AR430" s="66"/>
      <c r="AS430" s="66"/>
      <c r="AT430" s="66"/>
      <c r="AU430" s="66"/>
      <c r="AV430" s="66"/>
      <c r="AW430" s="66"/>
      <c r="AX430" s="66"/>
      <c r="AY430" s="66"/>
      <c r="AZ430" s="66"/>
      <c r="BA430" s="66"/>
      <c r="BB430" s="66"/>
      <c r="BC430" s="66"/>
      <c r="BD430" s="66"/>
      <c r="BE430" s="66"/>
      <c r="BF430" s="66"/>
      <c r="BG430" s="66"/>
      <c r="BH430" s="66"/>
      <c r="BI430" s="66"/>
      <c r="BJ430" s="66"/>
      <c r="BK430" s="66"/>
      <c r="BL430" s="66"/>
      <c r="BM430" s="66"/>
      <c r="BN430" s="66"/>
      <c r="BO430" s="66"/>
      <c r="BP430" s="66"/>
      <c r="BQ430" s="66"/>
      <c r="BR430" s="66"/>
      <c r="BS430" s="66"/>
      <c r="BT430" s="66"/>
      <c r="BU430" s="66"/>
      <c r="BV430" s="66"/>
      <c r="BW430" s="66"/>
      <c r="BX430" s="66"/>
      <c r="BY430" s="66"/>
      <c r="BZ430" s="66"/>
      <c r="CA430" s="66"/>
      <c r="CB430" s="66"/>
      <c r="CC430" s="66"/>
      <c r="CD430" s="66"/>
      <c r="CE430" s="66"/>
      <c r="CF430" s="66"/>
      <c r="CG430" s="66"/>
      <c r="CH430" s="66"/>
      <c r="CI430" s="66"/>
      <c r="CJ430" s="66"/>
      <c r="CK430" s="66"/>
      <c r="CL430" s="66"/>
      <c r="CM430" s="66"/>
      <c r="CN430" s="66"/>
      <c r="CO430" s="66"/>
      <c r="CP430" s="66"/>
      <c r="CQ430" s="66"/>
      <c r="CR430" s="66"/>
      <c r="CS430" s="66"/>
      <c r="CT430" s="66"/>
      <c r="CU430" s="66"/>
      <c r="CV430" s="66"/>
      <c r="CW430" s="66"/>
      <c r="CX430" s="66"/>
      <c r="CY430" s="66"/>
      <c r="CZ430" s="66"/>
      <c r="DA430" s="66"/>
      <c r="DB430" s="66"/>
      <c r="DC430" s="66"/>
      <c r="DD430" s="66"/>
      <c r="DE430" s="66"/>
      <c r="DF430" s="66"/>
      <c r="DG430" s="66"/>
      <c r="DH430" s="66"/>
      <c r="DI430" s="66"/>
      <c r="DJ430" s="66"/>
      <c r="DK430" s="66"/>
      <c r="DL430" s="66"/>
      <c r="DM430" s="66"/>
      <c r="DN430" s="66"/>
      <c r="DO430" s="66"/>
      <c r="DP430" s="66"/>
      <c r="DQ430" s="66"/>
      <c r="DR430" s="66"/>
      <c r="DS430" s="66"/>
      <c r="DT430" s="66"/>
      <c r="DU430" s="66"/>
      <c r="DV430" s="66"/>
      <c r="DW430" s="66"/>
      <c r="DX430" s="66"/>
      <c r="DY430" s="66"/>
      <c r="DZ430" s="66"/>
      <c r="EA430" s="66"/>
      <c r="EB430" s="66"/>
      <c r="EC430" s="66"/>
      <c r="ED430" s="66"/>
      <c r="EE430" s="66"/>
      <c r="EF430" s="66"/>
      <c r="EG430" s="66"/>
      <c r="EH430" s="66"/>
      <c r="EI430" s="66"/>
      <c r="EJ430" s="66"/>
      <c r="EK430" s="66"/>
      <c r="EL430" s="66"/>
      <c r="EM430" s="66"/>
      <c r="EN430" s="66"/>
      <c r="EO430" s="66"/>
      <c r="EP430" s="66"/>
      <c r="EQ430" s="66"/>
      <c r="ER430" s="66"/>
      <c r="ES430" s="66"/>
      <c r="ET430" s="66"/>
      <c r="EU430" s="66"/>
      <c r="EV430" s="66"/>
      <c r="EW430" s="66"/>
      <c r="EX430" s="66"/>
      <c r="EY430" s="66"/>
      <c r="EZ430" s="66"/>
      <c r="FA430" s="66"/>
      <c r="FB430" s="66"/>
      <c r="FC430" s="66"/>
      <c r="FD430" s="66"/>
      <c r="FE430" s="66"/>
      <c r="FF430" s="66"/>
      <c r="FG430" s="66"/>
      <c r="FH430" s="66"/>
      <c r="FI430" s="66"/>
      <c r="FJ430" s="66"/>
      <c r="FK430" s="66"/>
      <c r="FL430" s="66"/>
      <c r="FM430" s="66"/>
      <c r="FN430" s="66"/>
      <c r="FO430" s="66"/>
      <c r="FP430" s="66"/>
      <c r="FQ430" s="66"/>
      <c r="FR430" s="66"/>
      <c r="FS430" s="66"/>
      <c r="FT430" s="66"/>
      <c r="FU430" s="66"/>
      <c r="FV430" s="66"/>
      <c r="FW430" s="66"/>
      <c r="FX430" s="66"/>
      <c r="FY430" s="66"/>
      <c r="FZ430" s="66"/>
      <c r="GA430" s="66"/>
      <c r="GB430" s="66"/>
      <c r="GC430" s="66"/>
      <c r="GD430" s="66"/>
      <c r="GE430" s="66"/>
      <c r="GF430" s="66"/>
      <c r="GG430" s="66"/>
      <c r="GH430" s="66"/>
      <c r="GI430" s="66"/>
      <c r="GJ430" s="66"/>
      <c r="GK430" s="66"/>
      <c r="GL430" s="66"/>
      <c r="GM430" s="66"/>
      <c r="GN430" s="66"/>
      <c r="GO430" s="66"/>
      <c r="GP430" s="66"/>
      <c r="GQ430" s="66"/>
      <c r="GR430" s="66"/>
      <c r="GS430" s="66"/>
      <c r="GT430" s="66"/>
      <c r="GU430" s="66"/>
      <c r="GV430" s="66"/>
      <c r="GW430" s="66"/>
      <c r="GX430" s="66"/>
      <c r="GY430" s="66"/>
      <c r="GZ430" s="66"/>
      <c r="HA430" s="66"/>
      <c r="HB430" s="66"/>
      <c r="HC430" s="66"/>
      <c r="HD430" s="66"/>
      <c r="HE430" s="66"/>
      <c r="HF430" s="66"/>
      <c r="HG430" s="66"/>
      <c r="HH430" s="66"/>
      <c r="HI430" s="66"/>
      <c r="HJ430" s="66"/>
      <c r="HK430" s="66"/>
      <c r="HL430" s="66"/>
      <c r="HM430" s="66"/>
      <c r="HN430" s="66"/>
      <c r="HO430" s="66"/>
      <c r="HP430" s="66"/>
      <c r="HQ430" s="66"/>
      <c r="HR430" s="66"/>
      <c r="HS430" s="66"/>
      <c r="HT430" s="66"/>
      <c r="HU430" s="66"/>
      <c r="HV430" s="66"/>
      <c r="HW430" s="66"/>
      <c r="HX430" s="66"/>
      <c r="HY430" s="66"/>
      <c r="HZ430" s="66"/>
      <c r="IA430" s="66"/>
      <c r="IB430" s="66"/>
      <c r="IC430" s="66"/>
      <c r="ID430" s="66"/>
      <c r="IE430" s="66"/>
      <c r="IF430" s="66"/>
      <c r="IG430" s="66"/>
      <c r="IH430" s="66"/>
      <c r="II430" s="66"/>
      <c r="IJ430" s="66"/>
    </row>
    <row r="431" spans="1:244" x14ac:dyDescent="0.25">
      <c r="A431" s="18"/>
      <c r="B431" s="9"/>
      <c r="C431" s="12"/>
      <c r="D431" s="12"/>
      <c r="E431" s="12"/>
      <c r="F431" s="12"/>
      <c r="G431" s="12"/>
      <c r="H431" s="11"/>
      <c r="I431" s="11"/>
      <c r="J431" s="11"/>
      <c r="K431" s="11"/>
      <c r="L431" s="11"/>
    </row>
    <row r="432" spans="1:244" ht="15.5" x14ac:dyDescent="0.25">
      <c r="A432" s="35" t="str">
        <f>A5</f>
        <v>II</v>
      </c>
      <c r="B432" s="36" t="str">
        <f>B5</f>
        <v>Ledová plocha - technologie</v>
      </c>
      <c r="C432" s="14"/>
      <c r="D432" s="14"/>
      <c r="E432" s="14"/>
      <c r="F432" s="14"/>
      <c r="G432" s="14"/>
      <c r="H432" s="38"/>
      <c r="I432" s="38"/>
      <c r="J432" s="38"/>
      <c r="K432" s="38"/>
      <c r="L432" s="38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7"/>
      <c r="AV432" s="37"/>
      <c r="AW432" s="37"/>
      <c r="AX432" s="37"/>
      <c r="AY432" s="37"/>
      <c r="AZ432" s="37"/>
      <c r="BA432" s="37"/>
      <c r="BB432" s="37"/>
      <c r="BC432" s="37"/>
      <c r="BD432" s="37"/>
      <c r="BE432" s="37"/>
      <c r="BF432" s="37"/>
      <c r="BG432" s="37"/>
      <c r="BH432" s="37"/>
      <c r="BI432" s="37"/>
      <c r="BJ432" s="37"/>
      <c r="BK432" s="37"/>
      <c r="BL432" s="37"/>
      <c r="BM432" s="37"/>
      <c r="BN432" s="37"/>
      <c r="BO432" s="37"/>
      <c r="BP432" s="37"/>
      <c r="BQ432" s="37"/>
      <c r="BR432" s="37"/>
      <c r="BS432" s="37"/>
      <c r="BT432" s="37"/>
      <c r="BU432" s="37"/>
      <c r="BV432" s="37"/>
      <c r="BW432" s="37"/>
      <c r="BX432" s="37"/>
      <c r="BY432" s="37"/>
      <c r="BZ432" s="37"/>
      <c r="CA432" s="37"/>
      <c r="CB432" s="37"/>
      <c r="CC432" s="37"/>
      <c r="CD432" s="37"/>
      <c r="CE432" s="37"/>
      <c r="CF432" s="37"/>
      <c r="CG432" s="37"/>
      <c r="CH432" s="37"/>
      <c r="CI432" s="37"/>
      <c r="CJ432" s="37"/>
      <c r="CK432" s="37"/>
      <c r="CL432" s="37"/>
      <c r="CM432" s="37"/>
      <c r="CN432" s="37"/>
      <c r="CO432" s="37"/>
      <c r="CP432" s="37"/>
      <c r="CQ432" s="37"/>
      <c r="CR432" s="37"/>
      <c r="CS432" s="37"/>
      <c r="CT432" s="37"/>
      <c r="CU432" s="37"/>
      <c r="CV432" s="37"/>
      <c r="CW432" s="37"/>
      <c r="CX432" s="37"/>
      <c r="CY432" s="37"/>
      <c r="CZ432" s="37"/>
      <c r="DA432" s="37"/>
      <c r="DB432" s="37"/>
      <c r="DC432" s="37"/>
      <c r="DD432" s="37"/>
      <c r="DE432" s="37"/>
      <c r="DF432" s="37"/>
      <c r="DG432" s="37"/>
      <c r="DH432" s="37"/>
      <c r="DI432" s="37"/>
      <c r="DJ432" s="37"/>
      <c r="DK432" s="37"/>
      <c r="DL432" s="37"/>
      <c r="DM432" s="37"/>
      <c r="DN432" s="37"/>
      <c r="DO432" s="37"/>
      <c r="DP432" s="37"/>
      <c r="DQ432" s="37"/>
      <c r="DR432" s="37"/>
      <c r="DS432" s="37"/>
      <c r="DT432" s="37"/>
      <c r="DU432" s="37"/>
      <c r="DV432" s="37"/>
      <c r="DW432" s="37"/>
      <c r="DX432" s="37"/>
      <c r="DY432" s="37"/>
      <c r="DZ432" s="37"/>
      <c r="EA432" s="37"/>
      <c r="EB432" s="37"/>
      <c r="EC432" s="37"/>
      <c r="ED432" s="37"/>
      <c r="EE432" s="37"/>
      <c r="EF432" s="37"/>
      <c r="EG432" s="37"/>
      <c r="EH432" s="37"/>
      <c r="EI432" s="37"/>
      <c r="EJ432" s="37"/>
      <c r="EK432" s="37"/>
      <c r="EL432" s="37"/>
      <c r="EM432" s="37"/>
      <c r="EN432" s="37"/>
      <c r="EO432" s="37"/>
      <c r="EP432" s="37"/>
      <c r="EQ432" s="37"/>
      <c r="ER432" s="37"/>
      <c r="ES432" s="37"/>
      <c r="ET432" s="37"/>
      <c r="EU432" s="37"/>
      <c r="EV432" s="37"/>
      <c r="EW432" s="37"/>
      <c r="EX432" s="37"/>
      <c r="EY432" s="37"/>
      <c r="EZ432" s="37"/>
      <c r="FA432" s="37"/>
      <c r="FB432" s="37"/>
      <c r="FC432" s="37"/>
      <c r="FD432" s="37"/>
      <c r="FE432" s="37"/>
      <c r="FF432" s="37"/>
      <c r="FG432" s="37"/>
      <c r="FH432" s="37"/>
      <c r="FI432" s="37"/>
      <c r="FJ432" s="37"/>
      <c r="FK432" s="37"/>
      <c r="FL432" s="37"/>
      <c r="FM432" s="37"/>
      <c r="FN432" s="37"/>
      <c r="FO432" s="37"/>
      <c r="FP432" s="37"/>
      <c r="FQ432" s="37"/>
      <c r="FR432" s="37"/>
      <c r="FS432" s="37"/>
      <c r="FT432" s="37"/>
      <c r="FU432" s="37"/>
      <c r="FV432" s="37"/>
      <c r="FW432" s="37"/>
      <c r="FX432" s="37"/>
      <c r="FY432" s="37"/>
      <c r="FZ432" s="37"/>
      <c r="GA432" s="37"/>
      <c r="GB432" s="37"/>
      <c r="GC432" s="37"/>
      <c r="GD432" s="37"/>
      <c r="GE432" s="37"/>
      <c r="GF432" s="37"/>
      <c r="GG432" s="37"/>
      <c r="GH432" s="37"/>
      <c r="GI432" s="37"/>
      <c r="GJ432" s="37"/>
      <c r="GK432" s="37"/>
      <c r="GL432" s="37"/>
      <c r="GM432" s="37"/>
      <c r="GN432" s="37"/>
      <c r="GO432" s="37"/>
      <c r="GP432" s="37"/>
      <c r="GQ432" s="37"/>
      <c r="GR432" s="37"/>
      <c r="GS432" s="37"/>
      <c r="GT432" s="37"/>
      <c r="GU432" s="37"/>
      <c r="GV432" s="37"/>
      <c r="GW432" s="37"/>
      <c r="GX432" s="37"/>
      <c r="GY432" s="37"/>
      <c r="GZ432" s="37"/>
      <c r="HA432" s="37"/>
      <c r="HB432" s="37"/>
      <c r="HC432" s="37"/>
      <c r="HD432" s="37"/>
      <c r="HE432" s="37"/>
      <c r="HF432" s="37"/>
      <c r="HG432" s="37"/>
      <c r="HH432" s="37"/>
      <c r="HI432" s="37"/>
      <c r="HJ432" s="37"/>
      <c r="HK432" s="37"/>
      <c r="HL432" s="37"/>
      <c r="HM432" s="37"/>
      <c r="HN432" s="37"/>
      <c r="HO432" s="37"/>
      <c r="HP432" s="37"/>
      <c r="HQ432" s="37"/>
      <c r="HR432" s="37"/>
      <c r="HS432" s="37"/>
      <c r="HT432" s="37"/>
      <c r="HU432" s="37"/>
      <c r="HV432" s="37"/>
      <c r="HW432" s="37"/>
      <c r="HX432" s="37"/>
      <c r="HY432" s="37"/>
      <c r="HZ432" s="37"/>
      <c r="IA432" s="37"/>
      <c r="IB432" s="37"/>
      <c r="IC432" s="37"/>
      <c r="ID432" s="37"/>
      <c r="IE432" s="37"/>
      <c r="IF432" s="37"/>
      <c r="IG432" s="37"/>
      <c r="IH432" s="37"/>
      <c r="II432" s="37"/>
      <c r="IJ432" s="37"/>
    </row>
    <row r="433" spans="1:244" x14ac:dyDescent="0.25">
      <c r="A433" s="18"/>
      <c r="B433" s="9"/>
      <c r="C433" s="12"/>
      <c r="D433" s="12"/>
      <c r="E433" s="12"/>
      <c r="F433" s="12"/>
      <c r="G433" s="12"/>
      <c r="H433" s="11"/>
      <c r="I433" s="11"/>
      <c r="J433" s="11"/>
      <c r="K433" s="11"/>
      <c r="L433" s="11"/>
    </row>
    <row r="434" spans="1:244" ht="13" x14ac:dyDescent="0.25">
      <c r="A434" s="18"/>
      <c r="B434" s="5" t="s">
        <v>116</v>
      </c>
      <c r="C434" s="12"/>
      <c r="D434" s="12"/>
      <c r="E434" s="12"/>
      <c r="F434" s="12"/>
      <c r="G434" s="12"/>
      <c r="H434" s="11"/>
      <c r="I434" s="11"/>
      <c r="J434" s="11"/>
      <c r="K434" s="11"/>
      <c r="L434" s="11"/>
    </row>
    <row r="435" spans="1:244" ht="50" x14ac:dyDescent="0.25">
      <c r="A435" s="54" t="s">
        <v>349</v>
      </c>
      <c r="B435" s="40" t="s">
        <v>362</v>
      </c>
      <c r="C435" s="41" t="s">
        <v>53</v>
      </c>
      <c r="D435" s="76">
        <v>7</v>
      </c>
      <c r="E435" s="45">
        <v>31.8</v>
      </c>
      <c r="F435" s="58">
        <f t="shared" ref="F435:F440" si="131">D435*E435</f>
        <v>222.6</v>
      </c>
      <c r="G435" s="41" t="s">
        <v>69</v>
      </c>
      <c r="H435" s="41">
        <v>0</v>
      </c>
      <c r="I435" s="41">
        <v>0</v>
      </c>
      <c r="J435" s="41">
        <f t="shared" ref="J435:K440" si="132">$D435*H435</f>
        <v>0</v>
      </c>
      <c r="K435" s="41">
        <f t="shared" si="132"/>
        <v>0</v>
      </c>
      <c r="L435" s="41">
        <f>J435+K435</f>
        <v>0</v>
      </c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43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  <c r="CI435" s="43"/>
      <c r="CJ435" s="43"/>
      <c r="CK435" s="43"/>
      <c r="CL435" s="43"/>
      <c r="CM435" s="43"/>
      <c r="CN435" s="43"/>
      <c r="CO435" s="43"/>
      <c r="CP435" s="43"/>
      <c r="CQ435" s="43"/>
      <c r="CR435" s="43"/>
      <c r="CS435" s="43"/>
      <c r="CT435" s="43"/>
      <c r="CU435" s="43"/>
      <c r="CV435" s="43"/>
      <c r="CW435" s="43"/>
      <c r="CX435" s="43"/>
      <c r="CY435" s="43"/>
      <c r="CZ435" s="43"/>
      <c r="DA435" s="43"/>
      <c r="DB435" s="43"/>
      <c r="DC435" s="43"/>
      <c r="DD435" s="43"/>
      <c r="DE435" s="43"/>
      <c r="DF435" s="43"/>
      <c r="DG435" s="43"/>
      <c r="DH435" s="43"/>
      <c r="DI435" s="43"/>
      <c r="DJ435" s="43"/>
      <c r="DK435" s="43"/>
      <c r="DL435" s="43"/>
      <c r="DM435" s="43"/>
      <c r="DN435" s="43"/>
      <c r="DO435" s="43"/>
      <c r="DP435" s="43"/>
      <c r="DQ435" s="43"/>
      <c r="DR435" s="43"/>
      <c r="DS435" s="43"/>
      <c r="DT435" s="43"/>
      <c r="DU435" s="43"/>
      <c r="DV435" s="43"/>
      <c r="DW435" s="43"/>
      <c r="DX435" s="43"/>
      <c r="DY435" s="43"/>
      <c r="DZ435" s="43"/>
      <c r="EA435" s="43"/>
      <c r="EB435" s="43"/>
      <c r="EC435" s="43"/>
      <c r="ED435" s="43"/>
      <c r="EE435" s="43"/>
      <c r="EF435" s="43"/>
      <c r="EG435" s="43"/>
      <c r="EH435" s="43"/>
      <c r="EI435" s="43"/>
      <c r="EJ435" s="43"/>
      <c r="EK435" s="43"/>
      <c r="EL435" s="43"/>
      <c r="EM435" s="43"/>
      <c r="EN435" s="43"/>
      <c r="EO435" s="43"/>
      <c r="EP435" s="43"/>
      <c r="EQ435" s="43"/>
      <c r="ER435" s="43"/>
      <c r="ES435" s="43"/>
      <c r="ET435" s="43"/>
      <c r="EU435" s="43"/>
      <c r="EV435" s="43"/>
      <c r="EW435" s="43"/>
      <c r="EX435" s="43"/>
      <c r="EY435" s="43"/>
      <c r="EZ435" s="43"/>
      <c r="FA435" s="43"/>
      <c r="FB435" s="43"/>
      <c r="FC435" s="43"/>
      <c r="FD435" s="43"/>
      <c r="FE435" s="43"/>
      <c r="FF435" s="43"/>
      <c r="FG435" s="43"/>
      <c r="FH435" s="43"/>
      <c r="FI435" s="43"/>
      <c r="FJ435" s="43"/>
      <c r="FK435" s="43"/>
      <c r="FL435" s="43"/>
      <c r="FM435" s="43"/>
      <c r="FN435" s="43"/>
      <c r="FO435" s="43"/>
      <c r="FP435" s="43"/>
      <c r="FQ435" s="43"/>
      <c r="FR435" s="43"/>
      <c r="FS435" s="43"/>
      <c r="FT435" s="43"/>
      <c r="FU435" s="43"/>
      <c r="FV435" s="43"/>
      <c r="FW435" s="43"/>
      <c r="FX435" s="43"/>
      <c r="FY435" s="43"/>
      <c r="FZ435" s="43"/>
      <c r="GA435" s="43"/>
      <c r="GB435" s="43"/>
      <c r="GC435" s="43"/>
      <c r="GD435" s="43"/>
      <c r="GE435" s="43"/>
      <c r="GF435" s="43"/>
      <c r="GG435" s="43"/>
      <c r="GH435" s="43"/>
      <c r="GI435" s="43"/>
      <c r="GJ435" s="43"/>
      <c r="GK435" s="43"/>
      <c r="GL435" s="43"/>
      <c r="GM435" s="43"/>
      <c r="GN435" s="43"/>
      <c r="GO435" s="43"/>
      <c r="GP435" s="43"/>
      <c r="GQ435" s="43"/>
      <c r="GR435" s="43"/>
      <c r="GS435" s="43"/>
      <c r="GT435" s="43"/>
      <c r="GU435" s="43"/>
      <c r="GV435" s="43"/>
      <c r="GW435" s="43"/>
      <c r="GX435" s="43"/>
      <c r="GY435" s="43"/>
      <c r="GZ435" s="43"/>
      <c r="HA435" s="43"/>
      <c r="HB435" s="43"/>
      <c r="HC435" s="43"/>
      <c r="HD435" s="43"/>
      <c r="HE435" s="43"/>
      <c r="HF435" s="43"/>
      <c r="HG435" s="43"/>
      <c r="HH435" s="43"/>
      <c r="HI435" s="43"/>
      <c r="HJ435" s="43"/>
      <c r="HK435" s="43"/>
      <c r="HL435" s="43"/>
      <c r="HM435" s="43"/>
      <c r="HN435" s="43"/>
      <c r="HO435" s="43"/>
      <c r="HP435" s="43"/>
      <c r="HQ435" s="43"/>
      <c r="HR435" s="43"/>
      <c r="HS435" s="43"/>
      <c r="HT435" s="43"/>
      <c r="HU435" s="43"/>
      <c r="HV435" s="43"/>
      <c r="HW435" s="43"/>
      <c r="HX435" s="43"/>
      <c r="HY435" s="43"/>
      <c r="HZ435" s="43"/>
      <c r="IA435" s="43"/>
      <c r="IB435" s="43"/>
      <c r="IC435" s="43"/>
      <c r="ID435" s="43"/>
      <c r="IE435" s="43"/>
      <c r="IF435" s="43"/>
      <c r="IG435" s="43"/>
      <c r="IH435" s="43"/>
      <c r="II435" s="43"/>
      <c r="IJ435" s="43"/>
    </row>
    <row r="436" spans="1:244" ht="50" x14ac:dyDescent="0.25">
      <c r="A436" s="54" t="s">
        <v>350</v>
      </c>
      <c r="B436" s="40" t="s">
        <v>363</v>
      </c>
      <c r="C436" s="41" t="s">
        <v>53</v>
      </c>
      <c r="D436" s="76">
        <v>7</v>
      </c>
      <c r="E436" s="45">
        <v>56.2</v>
      </c>
      <c r="F436" s="58">
        <f t="shared" si="131"/>
        <v>393.40000000000003</v>
      </c>
      <c r="G436" s="41" t="s">
        <v>69</v>
      </c>
      <c r="H436" s="41">
        <v>0</v>
      </c>
      <c r="I436" s="41">
        <v>0</v>
      </c>
      <c r="J436" s="41">
        <f t="shared" si="132"/>
        <v>0</v>
      </c>
      <c r="K436" s="41">
        <f t="shared" si="132"/>
        <v>0</v>
      </c>
      <c r="L436" s="41">
        <f>J436+K436</f>
        <v>0</v>
      </c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  <c r="CI436" s="43"/>
      <c r="CJ436" s="43"/>
      <c r="CK436" s="43"/>
      <c r="CL436" s="43"/>
      <c r="CM436" s="43"/>
      <c r="CN436" s="43"/>
      <c r="CO436" s="43"/>
      <c r="CP436" s="43"/>
      <c r="CQ436" s="43"/>
      <c r="CR436" s="43"/>
      <c r="CS436" s="43"/>
      <c r="CT436" s="43"/>
      <c r="CU436" s="43"/>
      <c r="CV436" s="43"/>
      <c r="CW436" s="43"/>
      <c r="CX436" s="43"/>
      <c r="CY436" s="43"/>
      <c r="CZ436" s="43"/>
      <c r="DA436" s="43"/>
      <c r="DB436" s="43"/>
      <c r="DC436" s="43"/>
      <c r="DD436" s="43"/>
      <c r="DE436" s="43"/>
      <c r="DF436" s="43"/>
      <c r="DG436" s="43"/>
      <c r="DH436" s="43"/>
      <c r="DI436" s="43"/>
      <c r="DJ436" s="43"/>
      <c r="DK436" s="43"/>
      <c r="DL436" s="43"/>
      <c r="DM436" s="43"/>
      <c r="DN436" s="43"/>
      <c r="DO436" s="43"/>
      <c r="DP436" s="43"/>
      <c r="DQ436" s="43"/>
      <c r="DR436" s="43"/>
      <c r="DS436" s="43"/>
      <c r="DT436" s="43"/>
      <c r="DU436" s="43"/>
      <c r="DV436" s="43"/>
      <c r="DW436" s="43"/>
      <c r="DX436" s="43"/>
      <c r="DY436" s="43"/>
      <c r="DZ436" s="43"/>
      <c r="EA436" s="43"/>
      <c r="EB436" s="43"/>
      <c r="EC436" s="43"/>
      <c r="ED436" s="43"/>
      <c r="EE436" s="43"/>
      <c r="EF436" s="43"/>
      <c r="EG436" s="43"/>
      <c r="EH436" s="43"/>
      <c r="EI436" s="43"/>
      <c r="EJ436" s="43"/>
      <c r="EK436" s="43"/>
      <c r="EL436" s="43"/>
      <c r="EM436" s="43"/>
      <c r="EN436" s="43"/>
      <c r="EO436" s="43"/>
      <c r="EP436" s="43"/>
      <c r="EQ436" s="43"/>
      <c r="ER436" s="43"/>
      <c r="ES436" s="43"/>
      <c r="ET436" s="43"/>
      <c r="EU436" s="43"/>
      <c r="EV436" s="43"/>
      <c r="EW436" s="43"/>
      <c r="EX436" s="43"/>
      <c r="EY436" s="43"/>
      <c r="EZ436" s="43"/>
      <c r="FA436" s="43"/>
      <c r="FB436" s="43"/>
      <c r="FC436" s="43"/>
      <c r="FD436" s="43"/>
      <c r="FE436" s="43"/>
      <c r="FF436" s="43"/>
      <c r="FG436" s="43"/>
      <c r="FH436" s="43"/>
      <c r="FI436" s="43"/>
      <c r="FJ436" s="43"/>
      <c r="FK436" s="43"/>
      <c r="FL436" s="43"/>
      <c r="FM436" s="43"/>
      <c r="FN436" s="43"/>
      <c r="FO436" s="43"/>
      <c r="FP436" s="43"/>
      <c r="FQ436" s="43"/>
      <c r="FR436" s="43"/>
      <c r="FS436" s="43"/>
      <c r="FT436" s="43"/>
      <c r="FU436" s="43"/>
      <c r="FV436" s="43"/>
      <c r="FW436" s="43"/>
      <c r="FX436" s="43"/>
      <c r="FY436" s="43"/>
      <c r="FZ436" s="43"/>
      <c r="GA436" s="43"/>
      <c r="GB436" s="43"/>
      <c r="GC436" s="43"/>
      <c r="GD436" s="43"/>
      <c r="GE436" s="43"/>
      <c r="GF436" s="43"/>
      <c r="GG436" s="43"/>
      <c r="GH436" s="43"/>
      <c r="GI436" s="43"/>
      <c r="GJ436" s="43"/>
      <c r="GK436" s="43"/>
      <c r="GL436" s="43"/>
      <c r="GM436" s="43"/>
      <c r="GN436" s="43"/>
      <c r="GO436" s="43"/>
      <c r="GP436" s="43"/>
      <c r="GQ436" s="43"/>
      <c r="GR436" s="43"/>
      <c r="GS436" s="43"/>
      <c r="GT436" s="43"/>
      <c r="GU436" s="43"/>
      <c r="GV436" s="43"/>
      <c r="GW436" s="43"/>
      <c r="GX436" s="43"/>
      <c r="GY436" s="43"/>
      <c r="GZ436" s="43"/>
      <c r="HA436" s="43"/>
      <c r="HB436" s="43"/>
      <c r="HC436" s="43"/>
      <c r="HD436" s="43"/>
      <c r="HE436" s="43"/>
      <c r="HF436" s="43"/>
      <c r="HG436" s="43"/>
      <c r="HH436" s="43"/>
      <c r="HI436" s="43"/>
      <c r="HJ436" s="43"/>
      <c r="HK436" s="43"/>
      <c r="HL436" s="43"/>
      <c r="HM436" s="43"/>
      <c r="HN436" s="43"/>
      <c r="HO436" s="43"/>
      <c r="HP436" s="43"/>
      <c r="HQ436" s="43"/>
      <c r="HR436" s="43"/>
      <c r="HS436" s="43"/>
      <c r="HT436" s="43"/>
      <c r="HU436" s="43"/>
      <c r="HV436" s="43"/>
      <c r="HW436" s="43"/>
      <c r="HX436" s="43"/>
      <c r="HY436" s="43"/>
      <c r="HZ436" s="43"/>
      <c r="IA436" s="43"/>
      <c r="IB436" s="43"/>
      <c r="IC436" s="43"/>
      <c r="ID436" s="43"/>
      <c r="IE436" s="43"/>
      <c r="IF436" s="43"/>
      <c r="IG436" s="43"/>
      <c r="IH436" s="43"/>
      <c r="II436" s="43"/>
      <c r="IJ436" s="43"/>
    </row>
    <row r="437" spans="1:244" ht="50" x14ac:dyDescent="0.25">
      <c r="A437" s="54" t="s">
        <v>153</v>
      </c>
      <c r="B437" s="44" t="s">
        <v>98</v>
      </c>
      <c r="C437" s="41" t="s">
        <v>53</v>
      </c>
      <c r="D437" s="41">
        <f>7+2</f>
        <v>9</v>
      </c>
      <c r="E437" s="45">
        <v>1.4</v>
      </c>
      <c r="F437" s="41">
        <f t="shared" si="131"/>
        <v>12.6</v>
      </c>
      <c r="G437" s="41" t="s">
        <v>53</v>
      </c>
      <c r="H437" s="41">
        <v>0</v>
      </c>
      <c r="I437" s="41">
        <v>0</v>
      </c>
      <c r="J437" s="41">
        <f t="shared" si="132"/>
        <v>0</v>
      </c>
      <c r="K437" s="41">
        <f t="shared" si="132"/>
        <v>0</v>
      </c>
      <c r="L437" s="41">
        <f>J437+K437</f>
        <v>0</v>
      </c>
      <c r="M437" s="81"/>
      <c r="N437" s="81"/>
      <c r="O437" s="81"/>
      <c r="P437" s="81"/>
      <c r="Q437" s="81"/>
      <c r="R437" s="81"/>
      <c r="S437" s="81"/>
      <c r="T437" s="81"/>
      <c r="U437" s="81"/>
      <c r="V437" s="81"/>
      <c r="W437" s="81"/>
      <c r="X437" s="81"/>
      <c r="Y437" s="81"/>
      <c r="Z437" s="81"/>
      <c r="AA437" s="81"/>
      <c r="AB437" s="81"/>
      <c r="AC437" s="81"/>
      <c r="AD437" s="81"/>
      <c r="AE437" s="81"/>
      <c r="AF437" s="81"/>
      <c r="AG437" s="81"/>
      <c r="AH437" s="81"/>
      <c r="AI437" s="81"/>
      <c r="AJ437" s="81"/>
      <c r="AK437" s="81"/>
      <c r="AL437" s="81"/>
      <c r="AM437" s="81"/>
      <c r="AN437" s="81"/>
      <c r="AO437" s="81"/>
      <c r="AP437" s="81"/>
      <c r="AQ437" s="81"/>
      <c r="AR437" s="81"/>
      <c r="AS437" s="81"/>
      <c r="AT437" s="81"/>
      <c r="AU437" s="81"/>
      <c r="AV437" s="81"/>
      <c r="AW437" s="81"/>
      <c r="AX437" s="81"/>
      <c r="AY437" s="81"/>
      <c r="AZ437" s="81"/>
      <c r="BA437" s="81"/>
      <c r="BB437" s="81"/>
      <c r="BC437" s="81"/>
      <c r="BD437" s="81"/>
      <c r="BE437" s="81"/>
      <c r="BF437" s="81"/>
      <c r="BG437" s="81"/>
      <c r="BH437" s="81"/>
      <c r="BI437" s="81"/>
      <c r="BJ437" s="81"/>
      <c r="BK437" s="81"/>
      <c r="BL437" s="81"/>
      <c r="BM437" s="81"/>
      <c r="BN437" s="81"/>
      <c r="BO437" s="81"/>
      <c r="BP437" s="81"/>
      <c r="BQ437" s="81"/>
      <c r="BR437" s="81"/>
      <c r="BS437" s="81"/>
      <c r="BT437" s="81"/>
      <c r="BU437" s="81"/>
      <c r="BV437" s="81"/>
      <c r="BW437" s="81"/>
      <c r="BX437" s="81"/>
      <c r="BY437" s="81"/>
      <c r="BZ437" s="81"/>
      <c r="CA437" s="81"/>
      <c r="CB437" s="81"/>
      <c r="CC437" s="81"/>
      <c r="CD437" s="81"/>
      <c r="CE437" s="81"/>
      <c r="CF437" s="81"/>
      <c r="CG437" s="81"/>
      <c r="CH437" s="81"/>
      <c r="CI437" s="81"/>
      <c r="CJ437" s="81"/>
      <c r="CK437" s="81"/>
      <c r="CL437" s="81"/>
      <c r="CM437" s="81"/>
      <c r="CN437" s="81"/>
      <c r="CO437" s="81"/>
      <c r="CP437" s="81"/>
      <c r="CQ437" s="81"/>
      <c r="CR437" s="81"/>
      <c r="CS437" s="81"/>
      <c r="CT437" s="81"/>
      <c r="CU437" s="81"/>
      <c r="CV437" s="81"/>
      <c r="CW437" s="81"/>
      <c r="CX437" s="81"/>
      <c r="CY437" s="81"/>
      <c r="CZ437" s="81"/>
      <c r="DA437" s="81"/>
      <c r="DB437" s="81"/>
      <c r="DC437" s="81"/>
      <c r="DD437" s="81"/>
      <c r="DE437" s="81"/>
      <c r="DF437" s="81"/>
      <c r="DG437" s="81"/>
      <c r="DH437" s="81"/>
      <c r="DI437" s="81"/>
      <c r="DJ437" s="81"/>
      <c r="DK437" s="81"/>
      <c r="DL437" s="81"/>
      <c r="DM437" s="81"/>
      <c r="DN437" s="81"/>
      <c r="DO437" s="81"/>
      <c r="DP437" s="81"/>
      <c r="DQ437" s="81"/>
      <c r="DR437" s="81"/>
      <c r="DS437" s="81"/>
      <c r="DT437" s="81"/>
      <c r="DU437" s="81"/>
      <c r="DV437" s="81"/>
      <c r="DW437" s="81"/>
      <c r="DX437" s="81"/>
      <c r="DY437" s="81"/>
      <c r="DZ437" s="81"/>
      <c r="EA437" s="81"/>
      <c r="EB437" s="81"/>
      <c r="EC437" s="81"/>
      <c r="ED437" s="81"/>
      <c r="EE437" s="81"/>
      <c r="EF437" s="81"/>
      <c r="EG437" s="81"/>
      <c r="EH437" s="81"/>
      <c r="EI437" s="81"/>
      <c r="EJ437" s="81"/>
      <c r="EK437" s="81"/>
      <c r="EL437" s="81"/>
      <c r="EM437" s="81"/>
      <c r="EN437" s="81"/>
      <c r="EO437" s="81"/>
      <c r="EP437" s="81"/>
      <c r="EQ437" s="81"/>
      <c r="ER437" s="81"/>
      <c r="ES437" s="81"/>
      <c r="ET437" s="81"/>
      <c r="EU437" s="81"/>
      <c r="EV437" s="81"/>
      <c r="EW437" s="81"/>
      <c r="EX437" s="81"/>
      <c r="EY437" s="81"/>
      <c r="EZ437" s="81"/>
      <c r="FA437" s="81"/>
      <c r="FB437" s="81"/>
      <c r="FC437" s="81"/>
      <c r="FD437" s="81"/>
      <c r="FE437" s="81"/>
      <c r="FF437" s="81"/>
      <c r="FG437" s="81"/>
      <c r="FH437" s="81"/>
      <c r="FI437" s="81"/>
      <c r="FJ437" s="81"/>
      <c r="FK437" s="81"/>
      <c r="FL437" s="81"/>
      <c r="FM437" s="81"/>
      <c r="FN437" s="81"/>
      <c r="FO437" s="81"/>
      <c r="FP437" s="81"/>
      <c r="FQ437" s="81"/>
      <c r="FR437" s="81"/>
      <c r="FS437" s="81"/>
      <c r="FT437" s="81"/>
      <c r="FU437" s="81"/>
      <c r="FV437" s="81"/>
      <c r="FW437" s="81"/>
      <c r="FX437" s="81"/>
      <c r="FY437" s="81"/>
      <c r="FZ437" s="81"/>
      <c r="GA437" s="81"/>
      <c r="GB437" s="81"/>
      <c r="GC437" s="81"/>
      <c r="GD437" s="81"/>
      <c r="GE437" s="81"/>
      <c r="GF437" s="81"/>
      <c r="GG437" s="81"/>
      <c r="GH437" s="81"/>
      <c r="GI437" s="81"/>
      <c r="GJ437" s="81"/>
      <c r="GK437" s="81"/>
      <c r="GL437" s="81"/>
      <c r="GM437" s="81"/>
      <c r="GN437" s="81"/>
      <c r="GO437" s="81"/>
      <c r="GP437" s="81"/>
      <c r="GQ437" s="81"/>
      <c r="GR437" s="81"/>
      <c r="GS437" s="81"/>
      <c r="GT437" s="81"/>
      <c r="GU437" s="81"/>
      <c r="GV437" s="81"/>
      <c r="GW437" s="81"/>
      <c r="GX437" s="81"/>
      <c r="GY437" s="81"/>
      <c r="GZ437" s="81"/>
      <c r="HA437" s="81"/>
      <c r="HB437" s="81"/>
      <c r="HC437" s="81"/>
      <c r="HD437" s="81"/>
      <c r="HE437" s="81"/>
      <c r="HF437" s="81"/>
      <c r="HG437" s="81"/>
      <c r="HH437" s="81"/>
      <c r="HI437" s="81"/>
      <c r="HJ437" s="81"/>
      <c r="HK437" s="81"/>
      <c r="HL437" s="81"/>
      <c r="HM437" s="81"/>
      <c r="HN437" s="81"/>
      <c r="HO437" s="81"/>
      <c r="HP437" s="81"/>
      <c r="HQ437" s="81"/>
      <c r="HR437" s="81"/>
      <c r="HS437" s="81"/>
      <c r="HT437" s="81"/>
      <c r="HU437" s="81"/>
      <c r="HV437" s="81"/>
      <c r="HW437" s="81"/>
      <c r="HX437" s="81"/>
      <c r="HY437" s="81"/>
      <c r="HZ437" s="81"/>
      <c r="IA437" s="81"/>
      <c r="IB437" s="81"/>
      <c r="IC437" s="81"/>
      <c r="ID437" s="81"/>
      <c r="IE437" s="81"/>
      <c r="IF437" s="81"/>
      <c r="IG437" s="81"/>
      <c r="IH437" s="81"/>
      <c r="II437" s="81"/>
      <c r="IJ437" s="81"/>
    </row>
    <row r="438" spans="1:244" ht="25" x14ac:dyDescent="0.25">
      <c r="A438" s="54" t="s">
        <v>154</v>
      </c>
      <c r="B438" s="44" t="s">
        <v>156</v>
      </c>
      <c r="C438" s="41" t="s">
        <v>53</v>
      </c>
      <c r="D438" s="41">
        <f>7+2</f>
        <v>9</v>
      </c>
      <c r="E438" s="45">
        <v>2</v>
      </c>
      <c r="F438" s="41">
        <f t="shared" si="131"/>
        <v>18</v>
      </c>
      <c r="G438" s="41" t="s">
        <v>53</v>
      </c>
      <c r="H438" s="41">
        <v>0</v>
      </c>
      <c r="I438" s="41">
        <v>0</v>
      </c>
      <c r="J438" s="41">
        <f t="shared" si="132"/>
        <v>0</v>
      </c>
      <c r="K438" s="41">
        <f t="shared" si="132"/>
        <v>0</v>
      </c>
      <c r="L438" s="41">
        <f>J438+K438</f>
        <v>0</v>
      </c>
      <c r="M438" s="81"/>
      <c r="N438" s="81"/>
      <c r="O438" s="81"/>
      <c r="P438" s="81"/>
      <c r="Q438" s="81"/>
      <c r="R438" s="81"/>
      <c r="S438" s="81"/>
      <c r="T438" s="81"/>
      <c r="U438" s="81"/>
      <c r="V438" s="81"/>
      <c r="W438" s="81"/>
      <c r="X438" s="81"/>
      <c r="Y438" s="81"/>
      <c r="Z438" s="81"/>
      <c r="AA438" s="81"/>
      <c r="AB438" s="81"/>
      <c r="AC438" s="81"/>
      <c r="AD438" s="81"/>
      <c r="AE438" s="81"/>
      <c r="AF438" s="81"/>
      <c r="AG438" s="81"/>
      <c r="AH438" s="81"/>
      <c r="AI438" s="81"/>
      <c r="AJ438" s="81"/>
      <c r="AK438" s="81"/>
      <c r="AL438" s="81"/>
      <c r="AM438" s="81"/>
      <c r="AN438" s="81"/>
      <c r="AO438" s="81"/>
      <c r="AP438" s="81"/>
      <c r="AQ438" s="81"/>
      <c r="AR438" s="81"/>
      <c r="AS438" s="81"/>
      <c r="AT438" s="81"/>
      <c r="AU438" s="81"/>
      <c r="AV438" s="81"/>
      <c r="AW438" s="81"/>
      <c r="AX438" s="81"/>
      <c r="AY438" s="81"/>
      <c r="AZ438" s="81"/>
      <c r="BA438" s="81"/>
      <c r="BB438" s="81"/>
      <c r="BC438" s="81"/>
      <c r="BD438" s="81"/>
      <c r="BE438" s="81"/>
      <c r="BF438" s="81"/>
      <c r="BG438" s="81"/>
      <c r="BH438" s="81"/>
      <c r="BI438" s="81"/>
      <c r="BJ438" s="81"/>
      <c r="BK438" s="81"/>
      <c r="BL438" s="81"/>
      <c r="BM438" s="81"/>
      <c r="BN438" s="81"/>
      <c r="BO438" s="81"/>
      <c r="BP438" s="81"/>
      <c r="BQ438" s="81"/>
      <c r="BR438" s="81"/>
      <c r="BS438" s="81"/>
      <c r="BT438" s="81"/>
      <c r="BU438" s="81"/>
      <c r="BV438" s="81"/>
      <c r="BW438" s="81"/>
      <c r="BX438" s="81"/>
      <c r="BY438" s="81"/>
      <c r="BZ438" s="81"/>
      <c r="CA438" s="81"/>
      <c r="CB438" s="81"/>
      <c r="CC438" s="81"/>
      <c r="CD438" s="81"/>
      <c r="CE438" s="81"/>
      <c r="CF438" s="81"/>
      <c r="CG438" s="81"/>
      <c r="CH438" s="81"/>
      <c r="CI438" s="81"/>
      <c r="CJ438" s="81"/>
      <c r="CK438" s="81"/>
      <c r="CL438" s="81"/>
      <c r="CM438" s="81"/>
      <c r="CN438" s="81"/>
      <c r="CO438" s="81"/>
      <c r="CP438" s="81"/>
      <c r="CQ438" s="81"/>
      <c r="CR438" s="81"/>
      <c r="CS438" s="81"/>
      <c r="CT438" s="81"/>
      <c r="CU438" s="81"/>
      <c r="CV438" s="81"/>
      <c r="CW438" s="81"/>
      <c r="CX438" s="81"/>
      <c r="CY438" s="81"/>
      <c r="CZ438" s="81"/>
      <c r="DA438" s="81"/>
      <c r="DB438" s="81"/>
      <c r="DC438" s="81"/>
      <c r="DD438" s="81"/>
      <c r="DE438" s="81"/>
      <c r="DF438" s="81"/>
      <c r="DG438" s="81"/>
      <c r="DH438" s="81"/>
      <c r="DI438" s="81"/>
      <c r="DJ438" s="81"/>
      <c r="DK438" s="81"/>
      <c r="DL438" s="81"/>
      <c r="DM438" s="81"/>
      <c r="DN438" s="81"/>
      <c r="DO438" s="81"/>
      <c r="DP438" s="81"/>
      <c r="DQ438" s="81"/>
      <c r="DR438" s="81"/>
      <c r="DS438" s="81"/>
      <c r="DT438" s="81"/>
      <c r="DU438" s="81"/>
      <c r="DV438" s="81"/>
      <c r="DW438" s="81"/>
      <c r="DX438" s="81"/>
      <c r="DY438" s="81"/>
      <c r="DZ438" s="81"/>
      <c r="EA438" s="81"/>
      <c r="EB438" s="81"/>
      <c r="EC438" s="81"/>
      <c r="ED438" s="81"/>
      <c r="EE438" s="81"/>
      <c r="EF438" s="81"/>
      <c r="EG438" s="81"/>
      <c r="EH438" s="81"/>
      <c r="EI438" s="81"/>
      <c r="EJ438" s="81"/>
      <c r="EK438" s="81"/>
      <c r="EL438" s="81"/>
      <c r="EM438" s="81"/>
      <c r="EN438" s="81"/>
      <c r="EO438" s="81"/>
      <c r="EP438" s="81"/>
      <c r="EQ438" s="81"/>
      <c r="ER438" s="81"/>
      <c r="ES438" s="81"/>
      <c r="ET438" s="81"/>
      <c r="EU438" s="81"/>
      <c r="EV438" s="81"/>
      <c r="EW438" s="81"/>
      <c r="EX438" s="81"/>
      <c r="EY438" s="81"/>
      <c r="EZ438" s="81"/>
      <c r="FA438" s="81"/>
      <c r="FB438" s="81"/>
      <c r="FC438" s="81"/>
      <c r="FD438" s="81"/>
      <c r="FE438" s="81"/>
      <c r="FF438" s="81"/>
      <c r="FG438" s="81"/>
      <c r="FH438" s="81"/>
      <c r="FI438" s="81"/>
      <c r="FJ438" s="81"/>
      <c r="FK438" s="81"/>
      <c r="FL438" s="81"/>
      <c r="FM438" s="81"/>
      <c r="FN438" s="81"/>
      <c r="FO438" s="81"/>
      <c r="FP438" s="81"/>
      <c r="FQ438" s="81"/>
      <c r="FR438" s="81"/>
      <c r="FS438" s="81"/>
      <c r="FT438" s="81"/>
      <c r="FU438" s="81"/>
      <c r="FV438" s="81"/>
      <c r="FW438" s="81"/>
      <c r="FX438" s="81"/>
      <c r="FY438" s="81"/>
      <c r="FZ438" s="81"/>
      <c r="GA438" s="81"/>
      <c r="GB438" s="81"/>
      <c r="GC438" s="81"/>
      <c r="GD438" s="81"/>
      <c r="GE438" s="81"/>
      <c r="GF438" s="81"/>
      <c r="GG438" s="81"/>
      <c r="GH438" s="81"/>
      <c r="GI438" s="81"/>
      <c r="GJ438" s="81"/>
      <c r="GK438" s="81"/>
      <c r="GL438" s="81"/>
      <c r="GM438" s="81"/>
      <c r="GN438" s="81"/>
      <c r="GO438" s="81"/>
      <c r="GP438" s="81"/>
      <c r="GQ438" s="81"/>
      <c r="GR438" s="81"/>
      <c r="GS438" s="81"/>
      <c r="GT438" s="81"/>
      <c r="GU438" s="81"/>
      <c r="GV438" s="81"/>
      <c r="GW438" s="81"/>
      <c r="GX438" s="81"/>
      <c r="GY438" s="81"/>
      <c r="GZ438" s="81"/>
      <c r="HA438" s="81"/>
      <c r="HB438" s="81"/>
      <c r="HC438" s="81"/>
      <c r="HD438" s="81"/>
      <c r="HE438" s="81"/>
      <c r="HF438" s="81"/>
      <c r="HG438" s="81"/>
      <c r="HH438" s="81"/>
      <c r="HI438" s="81"/>
      <c r="HJ438" s="81"/>
      <c r="HK438" s="81"/>
      <c r="HL438" s="81"/>
      <c r="HM438" s="81"/>
      <c r="HN438" s="81"/>
      <c r="HO438" s="81"/>
      <c r="HP438" s="81"/>
      <c r="HQ438" s="81"/>
      <c r="HR438" s="81"/>
      <c r="HS438" s="81"/>
      <c r="HT438" s="81"/>
      <c r="HU438" s="81"/>
      <c r="HV438" s="81"/>
      <c r="HW438" s="81"/>
      <c r="HX438" s="81"/>
      <c r="HY438" s="81"/>
      <c r="HZ438" s="81"/>
      <c r="IA438" s="81"/>
      <c r="IB438" s="81"/>
      <c r="IC438" s="81"/>
      <c r="ID438" s="81"/>
      <c r="IE438" s="81"/>
      <c r="IF438" s="81"/>
      <c r="IG438" s="81"/>
      <c r="IH438" s="81"/>
      <c r="II438" s="81"/>
      <c r="IJ438" s="81"/>
    </row>
    <row r="439" spans="1:244" ht="25" x14ac:dyDescent="0.25">
      <c r="A439" s="54" t="s">
        <v>155</v>
      </c>
      <c r="B439" s="44" t="s">
        <v>152</v>
      </c>
      <c r="C439" s="41" t="s">
        <v>53</v>
      </c>
      <c r="D439" s="41">
        <v>7</v>
      </c>
      <c r="E439" s="45">
        <v>3</v>
      </c>
      <c r="F439" s="41">
        <f t="shared" si="131"/>
        <v>21</v>
      </c>
      <c r="G439" s="41" t="s">
        <v>53</v>
      </c>
      <c r="H439" s="41">
        <v>0</v>
      </c>
      <c r="I439" s="41">
        <v>0</v>
      </c>
      <c r="J439" s="41">
        <f t="shared" si="132"/>
        <v>0</v>
      </c>
      <c r="K439" s="41">
        <f t="shared" si="132"/>
        <v>0</v>
      </c>
      <c r="L439" s="41">
        <f>J439+K439</f>
        <v>0</v>
      </c>
      <c r="M439" s="81"/>
      <c r="N439" s="81"/>
      <c r="O439" s="81"/>
      <c r="P439" s="81"/>
      <c r="Q439" s="81"/>
      <c r="R439" s="81"/>
      <c r="S439" s="81"/>
      <c r="T439" s="81"/>
      <c r="U439" s="81"/>
      <c r="V439" s="81"/>
      <c r="W439" s="81"/>
      <c r="X439" s="81"/>
      <c r="Y439" s="81"/>
      <c r="Z439" s="81"/>
      <c r="AA439" s="81"/>
      <c r="AB439" s="81"/>
      <c r="AC439" s="81"/>
      <c r="AD439" s="81"/>
      <c r="AE439" s="81"/>
      <c r="AF439" s="81"/>
      <c r="AG439" s="81"/>
      <c r="AH439" s="81"/>
      <c r="AI439" s="81"/>
      <c r="AJ439" s="81"/>
      <c r="AK439" s="81"/>
      <c r="AL439" s="81"/>
      <c r="AM439" s="81"/>
      <c r="AN439" s="81"/>
      <c r="AO439" s="81"/>
      <c r="AP439" s="81"/>
      <c r="AQ439" s="81"/>
      <c r="AR439" s="81"/>
      <c r="AS439" s="81"/>
      <c r="AT439" s="81"/>
      <c r="AU439" s="81"/>
      <c r="AV439" s="81"/>
      <c r="AW439" s="81"/>
      <c r="AX439" s="81"/>
      <c r="AY439" s="81"/>
      <c r="AZ439" s="81"/>
      <c r="BA439" s="81"/>
      <c r="BB439" s="81"/>
      <c r="BC439" s="81"/>
      <c r="BD439" s="81"/>
      <c r="BE439" s="81"/>
      <c r="BF439" s="81"/>
      <c r="BG439" s="81"/>
      <c r="BH439" s="81"/>
      <c r="BI439" s="81"/>
      <c r="BJ439" s="81"/>
      <c r="BK439" s="81"/>
      <c r="BL439" s="81"/>
      <c r="BM439" s="81"/>
      <c r="BN439" s="81"/>
      <c r="BO439" s="81"/>
      <c r="BP439" s="81"/>
      <c r="BQ439" s="81"/>
      <c r="BR439" s="81"/>
      <c r="BS439" s="81"/>
      <c r="BT439" s="81"/>
      <c r="BU439" s="81"/>
      <c r="BV439" s="81"/>
      <c r="BW439" s="81"/>
      <c r="BX439" s="81"/>
      <c r="BY439" s="81"/>
      <c r="BZ439" s="81"/>
      <c r="CA439" s="81"/>
      <c r="CB439" s="81"/>
      <c r="CC439" s="81"/>
      <c r="CD439" s="81"/>
      <c r="CE439" s="81"/>
      <c r="CF439" s="81"/>
      <c r="CG439" s="81"/>
      <c r="CH439" s="81"/>
      <c r="CI439" s="81"/>
      <c r="CJ439" s="81"/>
      <c r="CK439" s="81"/>
      <c r="CL439" s="81"/>
      <c r="CM439" s="81"/>
      <c r="CN439" s="81"/>
      <c r="CO439" s="81"/>
      <c r="CP439" s="81"/>
      <c r="CQ439" s="81"/>
      <c r="CR439" s="81"/>
      <c r="CS439" s="81"/>
      <c r="CT439" s="81"/>
      <c r="CU439" s="81"/>
      <c r="CV439" s="81"/>
      <c r="CW439" s="81"/>
      <c r="CX439" s="81"/>
      <c r="CY439" s="81"/>
      <c r="CZ439" s="81"/>
      <c r="DA439" s="81"/>
      <c r="DB439" s="81"/>
      <c r="DC439" s="81"/>
      <c r="DD439" s="81"/>
      <c r="DE439" s="81"/>
      <c r="DF439" s="81"/>
      <c r="DG439" s="81"/>
      <c r="DH439" s="81"/>
      <c r="DI439" s="81"/>
      <c r="DJ439" s="81"/>
      <c r="DK439" s="81"/>
      <c r="DL439" s="81"/>
      <c r="DM439" s="81"/>
      <c r="DN439" s="81"/>
      <c r="DO439" s="81"/>
      <c r="DP439" s="81"/>
      <c r="DQ439" s="81"/>
      <c r="DR439" s="81"/>
      <c r="DS439" s="81"/>
      <c r="DT439" s="81"/>
      <c r="DU439" s="81"/>
      <c r="DV439" s="81"/>
      <c r="DW439" s="81"/>
      <c r="DX439" s="81"/>
      <c r="DY439" s="81"/>
      <c r="DZ439" s="81"/>
      <c r="EA439" s="81"/>
      <c r="EB439" s="81"/>
      <c r="EC439" s="81"/>
      <c r="ED439" s="81"/>
      <c r="EE439" s="81"/>
      <c r="EF439" s="81"/>
      <c r="EG439" s="81"/>
      <c r="EH439" s="81"/>
      <c r="EI439" s="81"/>
      <c r="EJ439" s="81"/>
      <c r="EK439" s="81"/>
      <c r="EL439" s="81"/>
      <c r="EM439" s="81"/>
      <c r="EN439" s="81"/>
      <c r="EO439" s="81"/>
      <c r="EP439" s="81"/>
      <c r="EQ439" s="81"/>
      <c r="ER439" s="81"/>
      <c r="ES439" s="81"/>
      <c r="ET439" s="81"/>
      <c r="EU439" s="81"/>
      <c r="EV439" s="81"/>
      <c r="EW439" s="81"/>
      <c r="EX439" s="81"/>
      <c r="EY439" s="81"/>
      <c r="EZ439" s="81"/>
      <c r="FA439" s="81"/>
      <c r="FB439" s="81"/>
      <c r="FC439" s="81"/>
      <c r="FD439" s="81"/>
      <c r="FE439" s="81"/>
      <c r="FF439" s="81"/>
      <c r="FG439" s="81"/>
      <c r="FH439" s="81"/>
      <c r="FI439" s="81"/>
      <c r="FJ439" s="81"/>
      <c r="FK439" s="81"/>
      <c r="FL439" s="81"/>
      <c r="FM439" s="81"/>
      <c r="FN439" s="81"/>
      <c r="FO439" s="81"/>
      <c r="FP439" s="81"/>
      <c r="FQ439" s="81"/>
      <c r="FR439" s="81"/>
      <c r="FS439" s="81"/>
      <c r="FT439" s="81"/>
      <c r="FU439" s="81"/>
      <c r="FV439" s="81"/>
      <c r="FW439" s="81"/>
      <c r="FX439" s="81"/>
      <c r="FY439" s="81"/>
      <c r="FZ439" s="81"/>
      <c r="GA439" s="81"/>
      <c r="GB439" s="81"/>
      <c r="GC439" s="81"/>
      <c r="GD439" s="81"/>
      <c r="GE439" s="81"/>
      <c r="GF439" s="81"/>
      <c r="GG439" s="81"/>
      <c r="GH439" s="81"/>
      <c r="GI439" s="81"/>
      <c r="GJ439" s="81"/>
      <c r="GK439" s="81"/>
      <c r="GL439" s="81"/>
      <c r="GM439" s="81"/>
      <c r="GN439" s="81"/>
      <c r="GO439" s="81"/>
      <c r="GP439" s="81"/>
      <c r="GQ439" s="81"/>
      <c r="GR439" s="81"/>
      <c r="GS439" s="81"/>
      <c r="GT439" s="81"/>
      <c r="GU439" s="81"/>
      <c r="GV439" s="81"/>
      <c r="GW439" s="81"/>
      <c r="GX439" s="81"/>
      <c r="GY439" s="81"/>
      <c r="GZ439" s="81"/>
      <c r="HA439" s="81"/>
      <c r="HB439" s="81"/>
      <c r="HC439" s="81"/>
      <c r="HD439" s="81"/>
      <c r="HE439" s="81"/>
      <c r="HF439" s="81"/>
      <c r="HG439" s="81"/>
      <c r="HH439" s="81"/>
      <c r="HI439" s="81"/>
      <c r="HJ439" s="81"/>
      <c r="HK439" s="81"/>
      <c r="HL439" s="81"/>
      <c r="HM439" s="81"/>
      <c r="HN439" s="81"/>
      <c r="HO439" s="81"/>
      <c r="HP439" s="81"/>
      <c r="HQ439" s="81"/>
      <c r="HR439" s="81"/>
      <c r="HS439" s="81"/>
      <c r="HT439" s="81"/>
      <c r="HU439" s="81"/>
      <c r="HV439" s="81"/>
      <c r="HW439" s="81"/>
      <c r="HX439" s="81"/>
      <c r="HY439" s="81"/>
      <c r="HZ439" s="81"/>
      <c r="IA439" s="81"/>
      <c r="IB439" s="81"/>
      <c r="IC439" s="81"/>
      <c r="ID439" s="81"/>
      <c r="IE439" s="81"/>
      <c r="IF439" s="81"/>
      <c r="IG439" s="81"/>
      <c r="IH439" s="81"/>
      <c r="II439" s="81"/>
      <c r="IJ439" s="81"/>
    </row>
    <row r="440" spans="1:244" x14ac:dyDescent="0.25">
      <c r="A440" s="18"/>
      <c r="B440" s="6" t="s">
        <v>102</v>
      </c>
      <c r="C440" s="12" t="s">
        <v>53</v>
      </c>
      <c r="D440" s="24">
        <v>922</v>
      </c>
      <c r="E440" s="12">
        <f>0.85/2</f>
        <v>0.42499999999999999</v>
      </c>
      <c r="F440" s="12">
        <f t="shared" si="131"/>
        <v>391.84999999999997</v>
      </c>
      <c r="G440" s="12" t="s">
        <v>53</v>
      </c>
      <c r="H440" s="12">
        <v>0</v>
      </c>
      <c r="I440" s="26">
        <v>0</v>
      </c>
      <c r="J440" s="26">
        <f t="shared" si="132"/>
        <v>0</v>
      </c>
      <c r="K440" s="26">
        <f t="shared" si="132"/>
        <v>0</v>
      </c>
      <c r="L440" s="26">
        <f t="shared" ref="L440:L452" si="133">J440+K440</f>
        <v>0</v>
      </c>
    </row>
    <row r="441" spans="1:244" ht="37.5" x14ac:dyDescent="0.25">
      <c r="A441" s="54"/>
      <c r="B441" s="40" t="s">
        <v>278</v>
      </c>
      <c r="C441" s="41" t="s">
        <v>68</v>
      </c>
      <c r="D441" s="76">
        <v>17472</v>
      </c>
      <c r="E441" s="45">
        <v>1.56</v>
      </c>
      <c r="F441" s="45">
        <f>CEILING(D441*E441,1)</f>
        <v>27257</v>
      </c>
      <c r="G441" s="41" t="s">
        <v>69</v>
      </c>
      <c r="H441" s="41">
        <v>0</v>
      </c>
      <c r="I441" s="41">
        <v>0</v>
      </c>
      <c r="J441" s="41">
        <f>$F441*H441</f>
        <v>0</v>
      </c>
      <c r="K441" s="41">
        <f>$D441*I441</f>
        <v>0</v>
      </c>
      <c r="L441" s="41">
        <f t="shared" si="133"/>
        <v>0</v>
      </c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43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  <c r="CI441" s="43"/>
      <c r="CJ441" s="43"/>
      <c r="CK441" s="43"/>
      <c r="CL441" s="43"/>
      <c r="CM441" s="43"/>
      <c r="CN441" s="43"/>
      <c r="CO441" s="43"/>
      <c r="CP441" s="43"/>
      <c r="CQ441" s="43"/>
      <c r="CR441" s="43"/>
      <c r="CS441" s="43"/>
      <c r="CT441" s="43"/>
      <c r="CU441" s="43"/>
      <c r="CV441" s="43"/>
      <c r="CW441" s="43"/>
      <c r="CX441" s="43"/>
      <c r="CY441" s="43"/>
      <c r="CZ441" s="43"/>
      <c r="DA441" s="43"/>
      <c r="DB441" s="43"/>
      <c r="DC441" s="43"/>
      <c r="DD441" s="43"/>
      <c r="DE441" s="43"/>
      <c r="DF441" s="43"/>
      <c r="DG441" s="43"/>
      <c r="DH441" s="43"/>
      <c r="DI441" s="43"/>
      <c r="DJ441" s="43"/>
      <c r="DK441" s="43"/>
      <c r="DL441" s="43"/>
      <c r="DM441" s="43"/>
      <c r="DN441" s="43"/>
      <c r="DO441" s="43"/>
      <c r="DP441" s="43"/>
      <c r="DQ441" s="43"/>
      <c r="DR441" s="43"/>
      <c r="DS441" s="43"/>
      <c r="DT441" s="43"/>
      <c r="DU441" s="43"/>
      <c r="DV441" s="43"/>
      <c r="DW441" s="43"/>
      <c r="DX441" s="43"/>
      <c r="DY441" s="43"/>
      <c r="DZ441" s="43"/>
      <c r="EA441" s="43"/>
      <c r="EB441" s="43"/>
      <c r="EC441" s="43"/>
      <c r="ED441" s="43"/>
      <c r="EE441" s="43"/>
      <c r="EF441" s="43"/>
      <c r="EG441" s="43"/>
      <c r="EH441" s="43"/>
      <c r="EI441" s="43"/>
      <c r="EJ441" s="43"/>
      <c r="EK441" s="43"/>
      <c r="EL441" s="43"/>
      <c r="EM441" s="43"/>
      <c r="EN441" s="43"/>
      <c r="EO441" s="43"/>
      <c r="EP441" s="43"/>
      <c r="EQ441" s="43"/>
      <c r="ER441" s="43"/>
      <c r="ES441" s="43"/>
      <c r="ET441" s="43"/>
      <c r="EU441" s="43"/>
      <c r="EV441" s="43"/>
      <c r="EW441" s="43"/>
      <c r="EX441" s="43"/>
      <c r="EY441" s="43"/>
      <c r="EZ441" s="43"/>
      <c r="FA441" s="43"/>
      <c r="FB441" s="43"/>
      <c r="FC441" s="43"/>
      <c r="FD441" s="43"/>
      <c r="FE441" s="43"/>
      <c r="FF441" s="43"/>
      <c r="FG441" s="43"/>
      <c r="FH441" s="43"/>
      <c r="FI441" s="43"/>
      <c r="FJ441" s="43"/>
      <c r="FK441" s="43"/>
      <c r="FL441" s="43"/>
      <c r="FM441" s="43"/>
      <c r="FN441" s="43"/>
      <c r="FO441" s="43"/>
      <c r="FP441" s="43"/>
      <c r="FQ441" s="43"/>
      <c r="FR441" s="43"/>
      <c r="FS441" s="43"/>
      <c r="FT441" s="43"/>
      <c r="FU441" s="43"/>
      <c r="FV441" s="43"/>
      <c r="FW441" s="43"/>
      <c r="FX441" s="43"/>
      <c r="FY441" s="43"/>
      <c r="FZ441" s="43"/>
      <c r="GA441" s="43"/>
      <c r="GB441" s="43"/>
      <c r="GC441" s="43"/>
      <c r="GD441" s="43"/>
      <c r="GE441" s="43"/>
      <c r="GF441" s="43"/>
      <c r="GG441" s="43"/>
      <c r="GH441" s="43"/>
      <c r="GI441" s="43"/>
      <c r="GJ441" s="43"/>
      <c r="GK441" s="43"/>
      <c r="GL441" s="43"/>
      <c r="GM441" s="43"/>
      <c r="GN441" s="43"/>
      <c r="GO441" s="43"/>
      <c r="GP441" s="43"/>
      <c r="GQ441" s="43"/>
      <c r="GR441" s="43"/>
      <c r="GS441" s="43"/>
      <c r="GT441" s="43"/>
      <c r="GU441" s="43"/>
      <c r="GV441" s="43"/>
      <c r="GW441" s="43"/>
      <c r="GX441" s="43"/>
      <c r="GY441" s="43"/>
      <c r="GZ441" s="43"/>
      <c r="HA441" s="43"/>
      <c r="HB441" s="43"/>
      <c r="HC441" s="43"/>
      <c r="HD441" s="43"/>
      <c r="HE441" s="43"/>
      <c r="HF441" s="43"/>
      <c r="HG441" s="43"/>
      <c r="HH441" s="43"/>
      <c r="HI441" s="43"/>
      <c r="HJ441" s="43"/>
      <c r="HK441" s="43"/>
      <c r="HL441" s="43"/>
      <c r="HM441" s="43"/>
      <c r="HN441" s="43"/>
      <c r="HO441" s="43"/>
      <c r="HP441" s="43"/>
      <c r="HQ441" s="43"/>
      <c r="HR441" s="43"/>
      <c r="HS441" s="43"/>
      <c r="HT441" s="43"/>
      <c r="HU441" s="43"/>
      <c r="HV441" s="43"/>
      <c r="HW441" s="43"/>
      <c r="HX441" s="43"/>
      <c r="HY441" s="43"/>
      <c r="HZ441" s="43"/>
      <c r="IA441" s="43"/>
      <c r="IB441" s="43"/>
      <c r="IC441" s="43"/>
      <c r="ID441" s="43"/>
      <c r="IE441" s="43"/>
      <c r="IF441" s="43"/>
      <c r="IG441" s="43"/>
      <c r="IH441" s="43"/>
      <c r="II441" s="43"/>
      <c r="IJ441" s="43"/>
    </row>
    <row r="442" spans="1:244" s="81" customFormat="1" ht="50" x14ac:dyDescent="0.25">
      <c r="A442" s="54"/>
      <c r="B442" s="44" t="s">
        <v>351</v>
      </c>
      <c r="C442" s="41" t="s">
        <v>53</v>
      </c>
      <c r="D442" s="46">
        <v>154</v>
      </c>
      <c r="E442" s="45">
        <v>0.25</v>
      </c>
      <c r="F442" s="55">
        <f>D442*E442</f>
        <v>38.5</v>
      </c>
      <c r="G442" s="41" t="s">
        <v>69</v>
      </c>
      <c r="H442" s="41">
        <v>0</v>
      </c>
      <c r="I442" s="41">
        <v>0</v>
      </c>
      <c r="J442" s="41">
        <f>$D442*H442</f>
        <v>0</v>
      </c>
      <c r="K442" s="41">
        <f>$D442*I442</f>
        <v>0</v>
      </c>
      <c r="L442" s="41">
        <f t="shared" si="133"/>
        <v>0</v>
      </c>
    </row>
    <row r="443" spans="1:244" ht="37.5" x14ac:dyDescent="0.25">
      <c r="A443" s="54" t="s">
        <v>158</v>
      </c>
      <c r="B443" s="40" t="s">
        <v>279</v>
      </c>
      <c r="C443" s="41" t="s">
        <v>68</v>
      </c>
      <c r="D443" s="76">
        <v>6</v>
      </c>
      <c r="E443" s="45">
        <v>1.56</v>
      </c>
      <c r="F443" s="55">
        <f>D443*E443</f>
        <v>9.36</v>
      </c>
      <c r="G443" s="41" t="s">
        <v>69</v>
      </c>
      <c r="H443" s="41">
        <v>0</v>
      </c>
      <c r="I443" s="41">
        <v>0</v>
      </c>
      <c r="J443" s="41">
        <f>$F443*H443</f>
        <v>0</v>
      </c>
      <c r="K443" s="41">
        <f>$D443*I443</f>
        <v>0</v>
      </c>
      <c r="L443" s="41">
        <f>J443+K443</f>
        <v>0</v>
      </c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43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  <c r="CI443" s="43"/>
      <c r="CJ443" s="43"/>
      <c r="CK443" s="43"/>
      <c r="CL443" s="43"/>
      <c r="CM443" s="43"/>
      <c r="CN443" s="43"/>
      <c r="CO443" s="43"/>
      <c r="CP443" s="43"/>
      <c r="CQ443" s="43"/>
      <c r="CR443" s="43"/>
      <c r="CS443" s="43"/>
      <c r="CT443" s="43"/>
      <c r="CU443" s="43"/>
      <c r="CV443" s="43"/>
      <c r="CW443" s="43"/>
      <c r="CX443" s="43"/>
      <c r="CY443" s="43"/>
      <c r="CZ443" s="43"/>
      <c r="DA443" s="43"/>
      <c r="DB443" s="43"/>
      <c r="DC443" s="43"/>
      <c r="DD443" s="43"/>
      <c r="DE443" s="43"/>
      <c r="DF443" s="43"/>
      <c r="DG443" s="43"/>
      <c r="DH443" s="43"/>
      <c r="DI443" s="43"/>
      <c r="DJ443" s="43"/>
      <c r="DK443" s="43"/>
      <c r="DL443" s="43"/>
      <c r="DM443" s="43"/>
      <c r="DN443" s="43"/>
      <c r="DO443" s="43"/>
      <c r="DP443" s="43"/>
      <c r="DQ443" s="43"/>
      <c r="DR443" s="43"/>
      <c r="DS443" s="43"/>
      <c r="DT443" s="43"/>
      <c r="DU443" s="43"/>
      <c r="DV443" s="43"/>
      <c r="DW443" s="43"/>
      <c r="DX443" s="43"/>
      <c r="DY443" s="43"/>
      <c r="DZ443" s="43"/>
      <c r="EA443" s="43"/>
      <c r="EB443" s="43"/>
      <c r="EC443" s="43"/>
      <c r="ED443" s="43"/>
      <c r="EE443" s="43"/>
      <c r="EF443" s="43"/>
      <c r="EG443" s="43"/>
      <c r="EH443" s="43"/>
      <c r="EI443" s="43"/>
      <c r="EJ443" s="43"/>
      <c r="EK443" s="43"/>
      <c r="EL443" s="43"/>
      <c r="EM443" s="43"/>
      <c r="EN443" s="43"/>
      <c r="EO443" s="43"/>
      <c r="EP443" s="43"/>
      <c r="EQ443" s="43"/>
      <c r="ER443" s="43"/>
      <c r="ES443" s="43"/>
      <c r="ET443" s="43"/>
      <c r="EU443" s="43"/>
      <c r="EV443" s="43"/>
      <c r="EW443" s="43"/>
      <c r="EX443" s="43"/>
      <c r="EY443" s="43"/>
      <c r="EZ443" s="43"/>
      <c r="FA443" s="43"/>
      <c r="FB443" s="43"/>
      <c r="FC443" s="43"/>
      <c r="FD443" s="43"/>
      <c r="FE443" s="43"/>
      <c r="FF443" s="43"/>
      <c r="FG443" s="43"/>
      <c r="FH443" s="43"/>
      <c r="FI443" s="43"/>
      <c r="FJ443" s="43"/>
      <c r="FK443" s="43"/>
      <c r="FL443" s="43"/>
      <c r="FM443" s="43"/>
      <c r="FN443" s="43"/>
      <c r="FO443" s="43"/>
      <c r="FP443" s="43"/>
      <c r="FQ443" s="43"/>
      <c r="FR443" s="43"/>
      <c r="FS443" s="43"/>
      <c r="FT443" s="43"/>
      <c r="FU443" s="43"/>
      <c r="FV443" s="43"/>
      <c r="FW443" s="43"/>
      <c r="FX443" s="43"/>
      <c r="FY443" s="43"/>
      <c r="FZ443" s="43"/>
      <c r="GA443" s="43"/>
      <c r="GB443" s="43"/>
      <c r="GC443" s="43"/>
      <c r="GD443" s="43"/>
      <c r="GE443" s="43"/>
      <c r="GF443" s="43"/>
      <c r="GG443" s="43"/>
      <c r="GH443" s="43"/>
      <c r="GI443" s="43"/>
      <c r="GJ443" s="43"/>
      <c r="GK443" s="43"/>
      <c r="GL443" s="43"/>
      <c r="GM443" s="43"/>
      <c r="GN443" s="43"/>
      <c r="GO443" s="43"/>
      <c r="GP443" s="43"/>
      <c r="GQ443" s="43"/>
      <c r="GR443" s="43"/>
      <c r="GS443" s="43"/>
      <c r="GT443" s="43"/>
      <c r="GU443" s="43"/>
      <c r="GV443" s="43"/>
      <c r="GW443" s="43"/>
      <c r="GX443" s="43"/>
      <c r="GY443" s="43"/>
      <c r="GZ443" s="43"/>
      <c r="HA443" s="43"/>
      <c r="HB443" s="43"/>
      <c r="HC443" s="43"/>
      <c r="HD443" s="43"/>
      <c r="HE443" s="43"/>
      <c r="HF443" s="43"/>
      <c r="HG443" s="43"/>
      <c r="HH443" s="43"/>
      <c r="HI443" s="43"/>
      <c r="HJ443" s="43"/>
      <c r="HK443" s="43"/>
      <c r="HL443" s="43"/>
      <c r="HM443" s="43"/>
      <c r="HN443" s="43"/>
      <c r="HO443" s="43"/>
      <c r="HP443" s="43"/>
      <c r="HQ443" s="43"/>
      <c r="HR443" s="43"/>
      <c r="HS443" s="43"/>
      <c r="HT443" s="43"/>
      <c r="HU443" s="43"/>
      <c r="HV443" s="43"/>
      <c r="HW443" s="43"/>
      <c r="HX443" s="43"/>
      <c r="HY443" s="43"/>
      <c r="HZ443" s="43"/>
      <c r="IA443" s="43"/>
      <c r="IB443" s="43"/>
      <c r="IC443" s="43"/>
      <c r="ID443" s="43"/>
      <c r="IE443" s="43"/>
      <c r="IF443" s="43"/>
      <c r="IG443" s="43"/>
      <c r="IH443" s="43"/>
      <c r="II443" s="43"/>
      <c r="IJ443" s="43"/>
    </row>
    <row r="444" spans="1:244" ht="37.5" x14ac:dyDescent="0.25">
      <c r="A444" s="54" t="s">
        <v>117</v>
      </c>
      <c r="B444" s="44" t="s">
        <v>280</v>
      </c>
      <c r="C444" s="41" t="s">
        <v>68</v>
      </c>
      <c r="D444" s="76">
        <f>CEILING(1.01*(4.1+3+0.5+24),3)</f>
        <v>33</v>
      </c>
      <c r="E444" s="45">
        <v>7.57</v>
      </c>
      <c r="F444" s="55">
        <f t="shared" ref="F444:F451" si="134">D444*E444</f>
        <v>249.81</v>
      </c>
      <c r="G444" s="41" t="s">
        <v>69</v>
      </c>
      <c r="H444" s="41">
        <v>0</v>
      </c>
      <c r="I444" s="41">
        <v>0</v>
      </c>
      <c r="J444" s="41">
        <f>$F444*H444</f>
        <v>0</v>
      </c>
      <c r="K444" s="41">
        <f>$D444*I444</f>
        <v>0</v>
      </c>
      <c r="L444" s="41">
        <f t="shared" si="133"/>
        <v>0</v>
      </c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43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  <c r="CI444" s="43"/>
      <c r="CJ444" s="43"/>
      <c r="CK444" s="43"/>
      <c r="CL444" s="43"/>
      <c r="CM444" s="43"/>
      <c r="CN444" s="43"/>
      <c r="CO444" s="43"/>
      <c r="CP444" s="43"/>
      <c r="CQ444" s="43"/>
      <c r="CR444" s="43"/>
      <c r="CS444" s="43"/>
      <c r="CT444" s="43"/>
      <c r="CU444" s="43"/>
      <c r="CV444" s="43"/>
      <c r="CW444" s="43"/>
      <c r="CX444" s="43"/>
      <c r="CY444" s="43"/>
      <c r="CZ444" s="43"/>
      <c r="DA444" s="43"/>
      <c r="DB444" s="43"/>
      <c r="DC444" s="43"/>
      <c r="DD444" s="43"/>
      <c r="DE444" s="43"/>
      <c r="DF444" s="43"/>
      <c r="DG444" s="43"/>
      <c r="DH444" s="43"/>
      <c r="DI444" s="43"/>
      <c r="DJ444" s="43"/>
      <c r="DK444" s="43"/>
      <c r="DL444" s="43"/>
      <c r="DM444" s="43"/>
      <c r="DN444" s="43"/>
      <c r="DO444" s="43"/>
      <c r="DP444" s="43"/>
      <c r="DQ444" s="43"/>
      <c r="DR444" s="43"/>
      <c r="DS444" s="43"/>
      <c r="DT444" s="43"/>
      <c r="DU444" s="43"/>
      <c r="DV444" s="43"/>
      <c r="DW444" s="43"/>
      <c r="DX444" s="43"/>
      <c r="DY444" s="43"/>
      <c r="DZ444" s="43"/>
      <c r="EA444" s="43"/>
      <c r="EB444" s="43"/>
      <c r="EC444" s="43"/>
      <c r="ED444" s="43"/>
      <c r="EE444" s="43"/>
      <c r="EF444" s="43"/>
      <c r="EG444" s="43"/>
      <c r="EH444" s="43"/>
      <c r="EI444" s="43"/>
      <c r="EJ444" s="43"/>
      <c r="EK444" s="43"/>
      <c r="EL444" s="43"/>
      <c r="EM444" s="43"/>
      <c r="EN444" s="43"/>
      <c r="EO444" s="43"/>
      <c r="EP444" s="43"/>
      <c r="EQ444" s="43"/>
      <c r="ER444" s="43"/>
      <c r="ES444" s="43"/>
      <c r="ET444" s="43"/>
      <c r="EU444" s="43"/>
      <c r="EV444" s="43"/>
      <c r="EW444" s="43"/>
      <c r="EX444" s="43"/>
      <c r="EY444" s="43"/>
      <c r="EZ444" s="43"/>
      <c r="FA444" s="43"/>
      <c r="FB444" s="43"/>
      <c r="FC444" s="43"/>
      <c r="FD444" s="43"/>
      <c r="FE444" s="43"/>
      <c r="FF444" s="43"/>
      <c r="FG444" s="43"/>
      <c r="FH444" s="43"/>
      <c r="FI444" s="43"/>
      <c r="FJ444" s="43"/>
      <c r="FK444" s="43"/>
      <c r="FL444" s="43"/>
      <c r="FM444" s="43"/>
      <c r="FN444" s="43"/>
      <c r="FO444" s="43"/>
      <c r="FP444" s="43"/>
      <c r="FQ444" s="43"/>
      <c r="FR444" s="43"/>
      <c r="FS444" s="43"/>
      <c r="FT444" s="43"/>
      <c r="FU444" s="43"/>
      <c r="FV444" s="43"/>
      <c r="FW444" s="43"/>
      <c r="FX444" s="43"/>
      <c r="FY444" s="43"/>
      <c r="FZ444" s="43"/>
      <c r="GA444" s="43"/>
      <c r="GB444" s="43"/>
      <c r="GC444" s="43"/>
      <c r="GD444" s="43"/>
      <c r="GE444" s="43"/>
      <c r="GF444" s="43"/>
      <c r="GG444" s="43"/>
      <c r="GH444" s="43"/>
      <c r="GI444" s="43"/>
      <c r="GJ444" s="43"/>
      <c r="GK444" s="43"/>
      <c r="GL444" s="43"/>
      <c r="GM444" s="43"/>
      <c r="GN444" s="43"/>
      <c r="GO444" s="43"/>
      <c r="GP444" s="43"/>
      <c r="GQ444" s="43"/>
      <c r="GR444" s="43"/>
      <c r="GS444" s="43"/>
      <c r="GT444" s="43"/>
      <c r="GU444" s="43"/>
      <c r="GV444" s="43"/>
      <c r="GW444" s="43"/>
      <c r="GX444" s="43"/>
      <c r="GY444" s="43"/>
      <c r="GZ444" s="43"/>
      <c r="HA444" s="43"/>
      <c r="HB444" s="43"/>
      <c r="HC444" s="43"/>
      <c r="HD444" s="43"/>
      <c r="HE444" s="43"/>
      <c r="HF444" s="43"/>
      <c r="HG444" s="43"/>
      <c r="HH444" s="43"/>
      <c r="HI444" s="43"/>
      <c r="HJ444" s="43"/>
      <c r="HK444" s="43"/>
      <c r="HL444" s="43"/>
      <c r="HM444" s="43"/>
      <c r="HN444" s="43"/>
      <c r="HO444" s="43"/>
      <c r="HP444" s="43"/>
      <c r="HQ444" s="43"/>
      <c r="HR444" s="43"/>
      <c r="HS444" s="43"/>
      <c r="HT444" s="43"/>
      <c r="HU444" s="43"/>
      <c r="HV444" s="43"/>
      <c r="HW444" s="43"/>
      <c r="HX444" s="43"/>
      <c r="HY444" s="43"/>
      <c r="HZ444" s="43"/>
      <c r="IA444" s="43"/>
      <c r="IB444" s="43"/>
      <c r="IC444" s="43"/>
      <c r="ID444" s="43"/>
      <c r="IE444" s="43"/>
      <c r="IF444" s="43"/>
      <c r="IG444" s="43"/>
      <c r="IH444" s="43"/>
      <c r="II444" s="43"/>
      <c r="IJ444" s="43"/>
    </row>
    <row r="445" spans="1:244" ht="37.5" x14ac:dyDescent="0.25">
      <c r="A445" s="54" t="s">
        <v>118</v>
      </c>
      <c r="B445" s="44" t="s">
        <v>281</v>
      </c>
      <c r="C445" s="41" t="s">
        <v>68</v>
      </c>
      <c r="D445" s="76">
        <f>CEILING(1.01*(3.8+24.5+1),3)</f>
        <v>30</v>
      </c>
      <c r="E445" s="45">
        <v>15</v>
      </c>
      <c r="F445" s="55">
        <f t="shared" si="134"/>
        <v>450</v>
      </c>
      <c r="G445" s="41" t="s">
        <v>69</v>
      </c>
      <c r="H445" s="41">
        <v>0</v>
      </c>
      <c r="I445" s="41">
        <v>0</v>
      </c>
      <c r="J445" s="41">
        <f>$F445*H445</f>
        <v>0</v>
      </c>
      <c r="K445" s="41">
        <f>$D445*I445</f>
        <v>0</v>
      </c>
      <c r="L445" s="41">
        <f t="shared" si="133"/>
        <v>0</v>
      </c>
      <c r="M445" s="81"/>
      <c r="N445" s="81"/>
      <c r="O445" s="81"/>
      <c r="P445" s="81"/>
      <c r="Q445" s="81"/>
      <c r="R445" s="81"/>
      <c r="S445" s="81"/>
      <c r="T445" s="81"/>
      <c r="U445" s="81"/>
      <c r="V445" s="81"/>
      <c r="W445" s="81"/>
      <c r="X445" s="81"/>
      <c r="Y445" s="81"/>
      <c r="Z445" s="81"/>
      <c r="AA445" s="81"/>
      <c r="AB445" s="81"/>
      <c r="AC445" s="81"/>
      <c r="AD445" s="81"/>
      <c r="AE445" s="81"/>
      <c r="AF445" s="81"/>
      <c r="AG445" s="81"/>
      <c r="AH445" s="81"/>
      <c r="AI445" s="81"/>
      <c r="AJ445" s="81"/>
      <c r="AK445" s="81"/>
      <c r="AL445" s="81"/>
      <c r="AM445" s="81"/>
      <c r="AN445" s="81"/>
      <c r="AO445" s="81"/>
      <c r="AP445" s="81"/>
      <c r="AQ445" s="81"/>
      <c r="AR445" s="81"/>
      <c r="AS445" s="81"/>
      <c r="AT445" s="81"/>
      <c r="AU445" s="81"/>
      <c r="AV445" s="81"/>
      <c r="AW445" s="81"/>
      <c r="AX445" s="81"/>
      <c r="AY445" s="81"/>
      <c r="AZ445" s="81"/>
      <c r="BA445" s="81"/>
      <c r="BB445" s="81"/>
      <c r="BC445" s="81"/>
      <c r="BD445" s="81"/>
      <c r="BE445" s="81"/>
      <c r="BF445" s="81"/>
      <c r="BG445" s="81"/>
      <c r="BH445" s="81"/>
      <c r="BI445" s="81"/>
      <c r="BJ445" s="81"/>
      <c r="BK445" s="81"/>
      <c r="BL445" s="81"/>
      <c r="BM445" s="81"/>
      <c r="BN445" s="81"/>
      <c r="BO445" s="81"/>
      <c r="BP445" s="81"/>
      <c r="BQ445" s="81"/>
      <c r="BR445" s="81"/>
      <c r="BS445" s="81"/>
      <c r="BT445" s="81"/>
      <c r="BU445" s="81"/>
      <c r="BV445" s="81"/>
      <c r="BW445" s="81"/>
      <c r="BX445" s="81"/>
      <c r="BY445" s="81"/>
      <c r="BZ445" s="81"/>
      <c r="CA445" s="81"/>
      <c r="CB445" s="81"/>
      <c r="CC445" s="81"/>
      <c r="CD445" s="81"/>
      <c r="CE445" s="81"/>
      <c r="CF445" s="81"/>
      <c r="CG445" s="81"/>
      <c r="CH445" s="81"/>
      <c r="CI445" s="81"/>
      <c r="CJ445" s="81"/>
      <c r="CK445" s="81"/>
      <c r="CL445" s="81"/>
      <c r="CM445" s="81"/>
      <c r="CN445" s="81"/>
      <c r="CO445" s="81"/>
      <c r="CP445" s="81"/>
      <c r="CQ445" s="81"/>
      <c r="CR445" s="81"/>
      <c r="CS445" s="81"/>
      <c r="CT445" s="81"/>
      <c r="CU445" s="81"/>
      <c r="CV445" s="81"/>
      <c r="CW445" s="81"/>
      <c r="CX445" s="81"/>
      <c r="CY445" s="81"/>
      <c r="CZ445" s="81"/>
      <c r="DA445" s="81"/>
      <c r="DB445" s="81"/>
      <c r="DC445" s="81"/>
      <c r="DD445" s="81"/>
      <c r="DE445" s="81"/>
      <c r="DF445" s="81"/>
      <c r="DG445" s="81"/>
      <c r="DH445" s="81"/>
      <c r="DI445" s="81"/>
      <c r="DJ445" s="81"/>
      <c r="DK445" s="81"/>
      <c r="DL445" s="81"/>
      <c r="DM445" s="81"/>
      <c r="DN445" s="81"/>
      <c r="DO445" s="81"/>
      <c r="DP445" s="81"/>
      <c r="DQ445" s="81"/>
      <c r="DR445" s="81"/>
      <c r="DS445" s="81"/>
      <c r="DT445" s="81"/>
      <c r="DU445" s="81"/>
      <c r="DV445" s="81"/>
      <c r="DW445" s="81"/>
      <c r="DX445" s="81"/>
      <c r="DY445" s="81"/>
      <c r="DZ445" s="81"/>
      <c r="EA445" s="81"/>
      <c r="EB445" s="81"/>
      <c r="EC445" s="81"/>
      <c r="ED445" s="81"/>
      <c r="EE445" s="81"/>
      <c r="EF445" s="81"/>
      <c r="EG445" s="81"/>
      <c r="EH445" s="81"/>
      <c r="EI445" s="81"/>
      <c r="EJ445" s="81"/>
      <c r="EK445" s="81"/>
      <c r="EL445" s="81"/>
      <c r="EM445" s="81"/>
      <c r="EN445" s="81"/>
      <c r="EO445" s="81"/>
      <c r="EP445" s="81"/>
      <c r="EQ445" s="81"/>
      <c r="ER445" s="81"/>
      <c r="ES445" s="81"/>
      <c r="ET445" s="81"/>
      <c r="EU445" s="81"/>
      <c r="EV445" s="81"/>
      <c r="EW445" s="81"/>
      <c r="EX445" s="81"/>
      <c r="EY445" s="81"/>
      <c r="EZ445" s="81"/>
      <c r="FA445" s="81"/>
      <c r="FB445" s="81"/>
      <c r="FC445" s="81"/>
      <c r="FD445" s="81"/>
      <c r="FE445" s="81"/>
      <c r="FF445" s="81"/>
      <c r="FG445" s="81"/>
      <c r="FH445" s="81"/>
      <c r="FI445" s="81"/>
      <c r="FJ445" s="81"/>
      <c r="FK445" s="81"/>
      <c r="FL445" s="81"/>
      <c r="FM445" s="81"/>
      <c r="FN445" s="81"/>
      <c r="FO445" s="81"/>
      <c r="FP445" s="81"/>
      <c r="FQ445" s="81"/>
      <c r="FR445" s="81"/>
      <c r="FS445" s="81"/>
      <c r="FT445" s="81"/>
      <c r="FU445" s="81"/>
      <c r="FV445" s="81"/>
      <c r="FW445" s="81"/>
      <c r="FX445" s="81"/>
      <c r="FY445" s="81"/>
      <c r="FZ445" s="81"/>
      <c r="GA445" s="81"/>
      <c r="GB445" s="81"/>
      <c r="GC445" s="81"/>
      <c r="GD445" s="81"/>
      <c r="GE445" s="81"/>
      <c r="GF445" s="81"/>
      <c r="GG445" s="81"/>
      <c r="GH445" s="81"/>
      <c r="GI445" s="81"/>
      <c r="GJ445" s="81"/>
      <c r="GK445" s="81"/>
      <c r="GL445" s="81"/>
      <c r="GM445" s="81"/>
      <c r="GN445" s="81"/>
      <c r="GO445" s="81"/>
      <c r="GP445" s="81"/>
      <c r="GQ445" s="81"/>
      <c r="GR445" s="81"/>
      <c r="GS445" s="81"/>
      <c r="GT445" s="81"/>
      <c r="GU445" s="81"/>
      <c r="GV445" s="81"/>
      <c r="GW445" s="81"/>
      <c r="GX445" s="81"/>
      <c r="GY445" s="81"/>
      <c r="GZ445" s="81"/>
      <c r="HA445" s="81"/>
      <c r="HB445" s="81"/>
      <c r="HC445" s="81"/>
      <c r="HD445" s="81"/>
      <c r="HE445" s="81"/>
      <c r="HF445" s="81"/>
      <c r="HG445" s="81"/>
      <c r="HH445" s="81"/>
      <c r="HI445" s="81"/>
      <c r="HJ445" s="81"/>
      <c r="HK445" s="81"/>
      <c r="HL445" s="81"/>
      <c r="HM445" s="81"/>
      <c r="HN445" s="81"/>
      <c r="HO445" s="81"/>
      <c r="HP445" s="81"/>
      <c r="HQ445" s="81"/>
      <c r="HR445" s="81"/>
      <c r="HS445" s="81"/>
      <c r="HT445" s="81"/>
      <c r="HU445" s="81"/>
      <c r="HV445" s="81"/>
      <c r="HW445" s="81"/>
      <c r="HX445" s="81"/>
      <c r="HY445" s="81"/>
      <c r="HZ445" s="81"/>
      <c r="IA445" s="81"/>
      <c r="IB445" s="81"/>
      <c r="IC445" s="81"/>
      <c r="ID445" s="81"/>
      <c r="IE445" s="81"/>
      <c r="IF445" s="81"/>
      <c r="IG445" s="81"/>
      <c r="IH445" s="81"/>
      <c r="II445" s="81"/>
      <c r="IJ445" s="81"/>
    </row>
    <row r="446" spans="1:244" ht="50" x14ac:dyDescent="0.25">
      <c r="A446" s="18"/>
      <c r="B446" s="6" t="s">
        <v>101</v>
      </c>
      <c r="C446" s="12" t="s">
        <v>53</v>
      </c>
      <c r="D446" s="24">
        <v>154</v>
      </c>
      <c r="E446" s="12">
        <f>0.57</f>
        <v>0.56999999999999995</v>
      </c>
      <c r="F446" s="12">
        <f t="shared" si="134"/>
        <v>87.779999999999987</v>
      </c>
      <c r="G446" s="12" t="s">
        <v>53</v>
      </c>
      <c r="H446" s="26">
        <v>0</v>
      </c>
      <c r="I446" s="26">
        <v>0</v>
      </c>
      <c r="J446" s="60">
        <f t="shared" ref="J446:K452" si="135">$D446*H446</f>
        <v>0</v>
      </c>
      <c r="K446" s="60">
        <f>D446*I446</f>
        <v>0</v>
      </c>
      <c r="L446" s="26">
        <f t="shared" si="133"/>
        <v>0</v>
      </c>
    </row>
    <row r="447" spans="1:244" ht="25" x14ac:dyDescent="0.25">
      <c r="A447" s="84"/>
      <c r="B447" s="85" t="s">
        <v>100</v>
      </c>
      <c r="C447" s="41" t="s">
        <v>53</v>
      </c>
      <c r="D447" s="24">
        <v>154</v>
      </c>
      <c r="E447" s="45">
        <f>ROUND(PI()/2*29/1000*1.56,2)</f>
        <v>7.0000000000000007E-2</v>
      </c>
      <c r="F447" s="41">
        <f t="shared" si="134"/>
        <v>10.780000000000001</v>
      </c>
      <c r="G447" s="41" t="s">
        <v>53</v>
      </c>
      <c r="H447" s="75">
        <v>0</v>
      </c>
      <c r="I447" s="75">
        <v>0</v>
      </c>
      <c r="J447" s="41">
        <f t="shared" si="135"/>
        <v>0</v>
      </c>
      <c r="K447" s="41">
        <f t="shared" si="135"/>
        <v>0</v>
      </c>
      <c r="L447" s="41">
        <f t="shared" si="133"/>
        <v>0</v>
      </c>
      <c r="M447" s="84"/>
      <c r="N447" s="84"/>
      <c r="O447" s="84"/>
      <c r="P447" s="84"/>
      <c r="Q447" s="84"/>
      <c r="R447" s="84"/>
      <c r="S447" s="84"/>
      <c r="T447" s="84"/>
      <c r="U447" s="84"/>
      <c r="V447" s="84"/>
      <c r="W447" s="84"/>
      <c r="X447" s="84"/>
      <c r="Y447" s="84"/>
      <c r="Z447" s="84"/>
      <c r="AA447" s="84"/>
      <c r="AB447" s="84"/>
      <c r="AC447" s="84"/>
      <c r="AD447" s="84"/>
      <c r="AE447" s="84"/>
      <c r="AF447" s="84"/>
      <c r="AG447" s="84"/>
      <c r="AH447" s="84"/>
      <c r="AI447" s="84"/>
      <c r="AJ447" s="84"/>
      <c r="AK447" s="84"/>
      <c r="AL447" s="84"/>
      <c r="AM447" s="84"/>
      <c r="AN447" s="84"/>
      <c r="AO447" s="84"/>
      <c r="AP447" s="84"/>
      <c r="AQ447" s="84"/>
      <c r="AR447" s="84"/>
      <c r="AS447" s="84"/>
      <c r="AT447" s="84"/>
      <c r="AU447" s="84"/>
      <c r="AV447" s="84"/>
      <c r="AW447" s="84"/>
      <c r="AX447" s="84"/>
      <c r="AY447" s="84"/>
      <c r="AZ447" s="84"/>
      <c r="BA447" s="84"/>
      <c r="BB447" s="84"/>
      <c r="BC447" s="84"/>
      <c r="BD447" s="84"/>
      <c r="BE447" s="84"/>
      <c r="BF447" s="84"/>
      <c r="BG447" s="84"/>
      <c r="BH447" s="84"/>
      <c r="BI447" s="84"/>
      <c r="BJ447" s="84"/>
      <c r="BK447" s="84"/>
      <c r="BL447" s="84"/>
      <c r="BM447" s="84"/>
      <c r="BN447" s="84"/>
      <c r="BO447" s="84"/>
      <c r="BP447" s="84"/>
      <c r="BQ447" s="84"/>
      <c r="BR447" s="84"/>
      <c r="BS447" s="84"/>
      <c r="BT447" s="84"/>
      <c r="BU447" s="84"/>
      <c r="BV447" s="84"/>
      <c r="BW447" s="84"/>
      <c r="BX447" s="84"/>
      <c r="BY447" s="84"/>
      <c r="BZ447" s="84"/>
      <c r="CA447" s="84"/>
      <c r="CB447" s="84"/>
      <c r="CC447" s="84"/>
      <c r="CD447" s="84"/>
      <c r="CE447" s="84"/>
      <c r="CF447" s="84"/>
      <c r="CG447" s="84"/>
      <c r="CH447" s="84"/>
      <c r="CI447" s="84"/>
      <c r="CJ447" s="84"/>
      <c r="CK447" s="84"/>
      <c r="CL447" s="84"/>
      <c r="CM447" s="84"/>
      <c r="CN447" s="84"/>
      <c r="CO447" s="84"/>
      <c r="CP447" s="84"/>
      <c r="CQ447" s="84"/>
      <c r="CR447" s="84"/>
      <c r="CS447" s="84"/>
      <c r="CT447" s="84"/>
      <c r="CU447" s="84"/>
      <c r="CV447" s="84"/>
      <c r="CW447" s="84"/>
      <c r="CX447" s="84"/>
      <c r="CY447" s="84"/>
      <c r="CZ447" s="84"/>
      <c r="DA447" s="84"/>
      <c r="DB447" s="84"/>
      <c r="DC447" s="84"/>
      <c r="DD447" s="84"/>
      <c r="DE447" s="84"/>
      <c r="DF447" s="84"/>
      <c r="DG447" s="84"/>
      <c r="DH447" s="84"/>
      <c r="DI447" s="84"/>
      <c r="DJ447" s="84"/>
      <c r="DK447" s="84"/>
      <c r="DL447" s="84"/>
      <c r="DM447" s="84"/>
      <c r="DN447" s="84"/>
      <c r="DO447" s="84"/>
      <c r="DP447" s="84"/>
      <c r="DQ447" s="84"/>
      <c r="DR447" s="84"/>
      <c r="DS447" s="84"/>
      <c r="DT447" s="84"/>
      <c r="DU447" s="84"/>
      <c r="DV447" s="84"/>
      <c r="DW447" s="84"/>
      <c r="DX447" s="84"/>
      <c r="DY447" s="84"/>
      <c r="DZ447" s="84"/>
      <c r="EA447" s="84"/>
      <c r="EB447" s="84"/>
      <c r="EC447" s="84"/>
      <c r="ED447" s="84"/>
      <c r="EE447" s="84"/>
      <c r="EF447" s="84"/>
      <c r="EG447" s="84"/>
      <c r="EH447" s="84"/>
      <c r="EI447" s="84"/>
      <c r="EJ447" s="84"/>
      <c r="EK447" s="84"/>
      <c r="EL447" s="84"/>
      <c r="EM447" s="84"/>
      <c r="EN447" s="84"/>
      <c r="EO447" s="84"/>
      <c r="EP447" s="84"/>
      <c r="EQ447" s="84"/>
      <c r="ER447" s="84"/>
      <c r="ES447" s="84"/>
      <c r="ET447" s="84"/>
      <c r="EU447" s="84"/>
      <c r="EV447" s="84"/>
      <c r="EW447" s="84"/>
      <c r="EX447" s="84"/>
      <c r="EY447" s="84"/>
      <c r="EZ447" s="84"/>
      <c r="FA447" s="84"/>
      <c r="FB447" s="84"/>
      <c r="FC447" s="84"/>
      <c r="FD447" s="84"/>
      <c r="FE447" s="84"/>
      <c r="FF447" s="84"/>
      <c r="FG447" s="84"/>
      <c r="FH447" s="84"/>
      <c r="FI447" s="84"/>
      <c r="FJ447" s="84"/>
      <c r="FK447" s="84"/>
      <c r="FL447" s="84"/>
      <c r="FM447" s="84"/>
      <c r="FN447" s="84"/>
      <c r="FO447" s="84"/>
      <c r="FP447" s="84"/>
      <c r="FQ447" s="84"/>
      <c r="FR447" s="84"/>
      <c r="FS447" s="84"/>
      <c r="FT447" s="84"/>
      <c r="FU447" s="84"/>
      <c r="FV447" s="84"/>
      <c r="FW447" s="84"/>
      <c r="FX447" s="84"/>
      <c r="FY447" s="84"/>
      <c r="FZ447" s="84"/>
      <c r="GA447" s="84"/>
      <c r="GB447" s="84"/>
      <c r="GC447" s="84"/>
      <c r="GD447" s="84"/>
      <c r="GE447" s="84"/>
      <c r="GF447" s="84"/>
      <c r="GG447" s="84"/>
      <c r="GH447" s="84"/>
      <c r="GI447" s="84"/>
      <c r="GJ447" s="84"/>
      <c r="GK447" s="84"/>
      <c r="GL447" s="84"/>
      <c r="GM447" s="84"/>
      <c r="GN447" s="84"/>
      <c r="GO447" s="84"/>
      <c r="GP447" s="84"/>
      <c r="GQ447" s="84"/>
      <c r="GR447" s="84"/>
      <c r="GS447" s="84"/>
      <c r="GT447" s="84"/>
      <c r="GU447" s="84"/>
      <c r="GV447" s="84"/>
      <c r="GW447" s="84"/>
      <c r="GX447" s="84"/>
      <c r="GY447" s="84"/>
      <c r="GZ447" s="84"/>
      <c r="HA447" s="84"/>
      <c r="HB447" s="84"/>
      <c r="HC447" s="84"/>
      <c r="HD447" s="84"/>
      <c r="HE447" s="84"/>
      <c r="HF447" s="84"/>
      <c r="HG447" s="84"/>
      <c r="HH447" s="84"/>
      <c r="HI447" s="84"/>
      <c r="HJ447" s="84"/>
      <c r="HK447" s="84"/>
      <c r="HL447" s="84"/>
      <c r="HM447" s="84"/>
      <c r="HN447" s="84"/>
      <c r="HO447" s="84"/>
      <c r="HP447" s="84"/>
      <c r="HQ447" s="84"/>
      <c r="HR447" s="84"/>
      <c r="HS447" s="84"/>
      <c r="HT447" s="84"/>
      <c r="HU447" s="84"/>
      <c r="HV447" s="84"/>
      <c r="HW447" s="84"/>
      <c r="HX447" s="84"/>
      <c r="HY447" s="84"/>
      <c r="HZ447" s="84"/>
      <c r="IA447" s="84"/>
      <c r="IB447" s="84"/>
      <c r="IC447" s="84"/>
      <c r="ID447" s="84"/>
      <c r="IE447" s="84"/>
      <c r="IF447" s="84"/>
      <c r="IG447" s="84"/>
      <c r="IH447" s="84"/>
      <c r="II447" s="84"/>
      <c r="IJ447" s="84"/>
    </row>
    <row r="448" spans="1:244" s="84" customFormat="1" ht="25" x14ac:dyDescent="0.25">
      <c r="B448" s="85" t="s">
        <v>110</v>
      </c>
      <c r="C448" s="41" t="s">
        <v>53</v>
      </c>
      <c r="D448" s="41">
        <f>4</f>
        <v>4</v>
      </c>
      <c r="E448" s="45">
        <f>ROUND(PI()/2*95/1000*5.75,2)</f>
        <v>0.86</v>
      </c>
      <c r="F448" s="41">
        <f t="shared" si="134"/>
        <v>3.44</v>
      </c>
      <c r="G448" s="41" t="s">
        <v>53</v>
      </c>
      <c r="H448" s="75">
        <v>0</v>
      </c>
      <c r="I448" s="75">
        <v>0</v>
      </c>
      <c r="J448" s="41">
        <f t="shared" si="135"/>
        <v>0</v>
      </c>
      <c r="K448" s="41">
        <f t="shared" si="135"/>
        <v>0</v>
      </c>
      <c r="L448" s="41">
        <f t="shared" si="133"/>
        <v>0</v>
      </c>
    </row>
    <row r="449" spans="1:244" ht="25" x14ac:dyDescent="0.25">
      <c r="A449" s="84"/>
      <c r="B449" s="85" t="s">
        <v>111</v>
      </c>
      <c r="C449" s="41" t="s">
        <v>53</v>
      </c>
      <c r="D449" s="41">
        <f>3</f>
        <v>3</v>
      </c>
      <c r="E449" s="45">
        <f>ROUND(PI()/2*190/1000*15,2)</f>
        <v>4.4800000000000004</v>
      </c>
      <c r="F449" s="41">
        <f>D449*E449</f>
        <v>13.440000000000001</v>
      </c>
      <c r="G449" s="41" t="s">
        <v>53</v>
      </c>
      <c r="H449" s="75">
        <v>0</v>
      </c>
      <c r="I449" s="75">
        <v>0</v>
      </c>
      <c r="J449" s="41">
        <f>$D449*H449</f>
        <v>0</v>
      </c>
      <c r="K449" s="41">
        <f t="shared" si="135"/>
        <v>0</v>
      </c>
      <c r="L449" s="41">
        <f>J449+K449</f>
        <v>0</v>
      </c>
      <c r="M449" s="84"/>
      <c r="N449" s="84"/>
      <c r="O449" s="84"/>
      <c r="P449" s="84"/>
      <c r="Q449" s="84"/>
      <c r="R449" s="84"/>
      <c r="S449" s="84"/>
      <c r="T449" s="84"/>
      <c r="U449" s="84"/>
      <c r="V449" s="84"/>
      <c r="W449" s="84"/>
      <c r="X449" s="84"/>
      <c r="Y449" s="84"/>
      <c r="Z449" s="84"/>
      <c r="AA449" s="84"/>
      <c r="AB449" s="84"/>
      <c r="AC449" s="84"/>
      <c r="AD449" s="84"/>
      <c r="AE449" s="84"/>
      <c r="AF449" s="84"/>
      <c r="AG449" s="84"/>
      <c r="AH449" s="84"/>
      <c r="AI449" s="84"/>
      <c r="AJ449" s="84"/>
      <c r="AK449" s="84"/>
      <c r="AL449" s="84"/>
      <c r="AM449" s="84"/>
      <c r="AN449" s="84"/>
      <c r="AO449" s="84"/>
      <c r="AP449" s="84"/>
      <c r="AQ449" s="84"/>
      <c r="AR449" s="84"/>
      <c r="AS449" s="84"/>
      <c r="AT449" s="84"/>
      <c r="AU449" s="84"/>
      <c r="AV449" s="84"/>
      <c r="AW449" s="84"/>
      <c r="AX449" s="84"/>
      <c r="AY449" s="84"/>
      <c r="AZ449" s="84"/>
      <c r="BA449" s="84"/>
      <c r="BB449" s="84"/>
      <c r="BC449" s="84"/>
      <c r="BD449" s="84"/>
      <c r="BE449" s="84"/>
      <c r="BF449" s="84"/>
      <c r="BG449" s="84"/>
      <c r="BH449" s="84"/>
      <c r="BI449" s="84"/>
      <c r="BJ449" s="84"/>
      <c r="BK449" s="84"/>
      <c r="BL449" s="84"/>
      <c r="BM449" s="84"/>
      <c r="BN449" s="84"/>
      <c r="BO449" s="84"/>
      <c r="BP449" s="84"/>
      <c r="BQ449" s="84"/>
      <c r="BR449" s="84"/>
      <c r="BS449" s="84"/>
      <c r="BT449" s="84"/>
      <c r="BU449" s="84"/>
      <c r="BV449" s="84"/>
      <c r="BW449" s="84"/>
      <c r="BX449" s="84"/>
      <c r="BY449" s="84"/>
      <c r="BZ449" s="84"/>
      <c r="CA449" s="84"/>
      <c r="CB449" s="84"/>
      <c r="CC449" s="84"/>
      <c r="CD449" s="84"/>
      <c r="CE449" s="84"/>
      <c r="CF449" s="84"/>
      <c r="CG449" s="84"/>
      <c r="CH449" s="84"/>
      <c r="CI449" s="84"/>
      <c r="CJ449" s="84"/>
      <c r="CK449" s="84"/>
      <c r="CL449" s="84"/>
      <c r="CM449" s="84"/>
      <c r="CN449" s="84"/>
      <c r="CO449" s="84"/>
      <c r="CP449" s="84"/>
      <c r="CQ449" s="84"/>
      <c r="CR449" s="84"/>
      <c r="CS449" s="84"/>
      <c r="CT449" s="84"/>
      <c r="CU449" s="84"/>
      <c r="CV449" s="84"/>
      <c r="CW449" s="84"/>
      <c r="CX449" s="84"/>
      <c r="CY449" s="84"/>
      <c r="CZ449" s="84"/>
      <c r="DA449" s="84"/>
      <c r="DB449" s="84"/>
      <c r="DC449" s="84"/>
      <c r="DD449" s="84"/>
      <c r="DE449" s="84"/>
      <c r="DF449" s="84"/>
      <c r="DG449" s="84"/>
      <c r="DH449" s="84"/>
      <c r="DI449" s="84"/>
      <c r="DJ449" s="84"/>
      <c r="DK449" s="84"/>
      <c r="DL449" s="84"/>
      <c r="DM449" s="84"/>
      <c r="DN449" s="84"/>
      <c r="DO449" s="84"/>
      <c r="DP449" s="84"/>
      <c r="DQ449" s="84"/>
      <c r="DR449" s="84"/>
      <c r="DS449" s="84"/>
      <c r="DT449" s="84"/>
      <c r="DU449" s="84"/>
      <c r="DV449" s="84"/>
      <c r="DW449" s="84"/>
      <c r="DX449" s="84"/>
      <c r="DY449" s="84"/>
      <c r="DZ449" s="84"/>
      <c r="EA449" s="84"/>
      <c r="EB449" s="84"/>
      <c r="EC449" s="84"/>
      <c r="ED449" s="84"/>
      <c r="EE449" s="84"/>
      <c r="EF449" s="84"/>
      <c r="EG449" s="84"/>
      <c r="EH449" s="84"/>
      <c r="EI449" s="84"/>
      <c r="EJ449" s="84"/>
      <c r="EK449" s="84"/>
      <c r="EL449" s="84"/>
      <c r="EM449" s="84"/>
      <c r="EN449" s="84"/>
      <c r="EO449" s="84"/>
      <c r="EP449" s="84"/>
      <c r="EQ449" s="84"/>
      <c r="ER449" s="84"/>
      <c r="ES449" s="84"/>
      <c r="ET449" s="84"/>
      <c r="EU449" s="84"/>
      <c r="EV449" s="84"/>
      <c r="EW449" s="84"/>
      <c r="EX449" s="84"/>
      <c r="EY449" s="84"/>
      <c r="EZ449" s="84"/>
      <c r="FA449" s="84"/>
      <c r="FB449" s="84"/>
      <c r="FC449" s="84"/>
      <c r="FD449" s="84"/>
      <c r="FE449" s="84"/>
      <c r="FF449" s="84"/>
      <c r="FG449" s="84"/>
      <c r="FH449" s="84"/>
      <c r="FI449" s="84"/>
      <c r="FJ449" s="84"/>
      <c r="FK449" s="84"/>
      <c r="FL449" s="84"/>
      <c r="FM449" s="84"/>
      <c r="FN449" s="84"/>
      <c r="FO449" s="84"/>
      <c r="FP449" s="84"/>
      <c r="FQ449" s="84"/>
      <c r="FR449" s="84"/>
      <c r="FS449" s="84"/>
      <c r="FT449" s="84"/>
      <c r="FU449" s="84"/>
      <c r="FV449" s="84"/>
      <c r="FW449" s="84"/>
      <c r="FX449" s="84"/>
      <c r="FY449" s="84"/>
      <c r="FZ449" s="84"/>
      <c r="GA449" s="84"/>
      <c r="GB449" s="84"/>
      <c r="GC449" s="84"/>
      <c r="GD449" s="84"/>
      <c r="GE449" s="84"/>
      <c r="GF449" s="84"/>
      <c r="GG449" s="84"/>
      <c r="GH449" s="84"/>
      <c r="GI449" s="84"/>
      <c r="GJ449" s="84"/>
      <c r="GK449" s="84"/>
      <c r="GL449" s="84"/>
      <c r="GM449" s="84"/>
      <c r="GN449" s="84"/>
      <c r="GO449" s="84"/>
      <c r="GP449" s="84"/>
      <c r="GQ449" s="84"/>
      <c r="GR449" s="84"/>
      <c r="GS449" s="84"/>
      <c r="GT449" s="84"/>
      <c r="GU449" s="84"/>
      <c r="GV449" s="84"/>
      <c r="GW449" s="84"/>
      <c r="GX449" s="84"/>
      <c r="GY449" s="84"/>
      <c r="GZ449" s="84"/>
      <c r="HA449" s="84"/>
      <c r="HB449" s="84"/>
      <c r="HC449" s="84"/>
      <c r="HD449" s="84"/>
      <c r="HE449" s="84"/>
      <c r="HF449" s="84"/>
      <c r="HG449" s="84"/>
      <c r="HH449" s="84"/>
      <c r="HI449" s="84"/>
      <c r="HJ449" s="84"/>
      <c r="HK449" s="84"/>
      <c r="HL449" s="84"/>
      <c r="HM449" s="84"/>
      <c r="HN449" s="84"/>
      <c r="HO449" s="84"/>
      <c r="HP449" s="84"/>
      <c r="HQ449" s="84"/>
      <c r="HR449" s="84"/>
      <c r="HS449" s="84"/>
      <c r="HT449" s="84"/>
      <c r="HU449" s="84"/>
      <c r="HV449" s="84"/>
      <c r="HW449" s="84"/>
      <c r="HX449" s="84"/>
      <c r="HY449" s="84"/>
      <c r="HZ449" s="84"/>
      <c r="IA449" s="84"/>
      <c r="IB449" s="84"/>
      <c r="IC449" s="84"/>
      <c r="ID449" s="84"/>
      <c r="IE449" s="84"/>
      <c r="IF449" s="84"/>
      <c r="IG449" s="84"/>
      <c r="IH449" s="84"/>
      <c r="II449" s="84"/>
      <c r="IJ449" s="84"/>
    </row>
    <row r="450" spans="1:244" s="81" customFormat="1" x14ac:dyDescent="0.25">
      <c r="A450" s="54"/>
      <c r="B450" s="40" t="s">
        <v>157</v>
      </c>
      <c r="C450" s="41" t="s">
        <v>53</v>
      </c>
      <c r="D450" s="24">
        <v>154</v>
      </c>
      <c r="E450" s="45">
        <v>1.7000000000000001E-2</v>
      </c>
      <c r="F450" s="55">
        <f>D450*E450</f>
        <v>2.6180000000000003</v>
      </c>
      <c r="G450" s="41" t="s">
        <v>53</v>
      </c>
      <c r="H450" s="41">
        <v>0</v>
      </c>
      <c r="I450" s="41">
        <v>0</v>
      </c>
      <c r="J450" s="41">
        <f>$D450*H450</f>
        <v>0</v>
      </c>
      <c r="K450" s="41">
        <f t="shared" si="135"/>
        <v>0</v>
      </c>
      <c r="L450" s="41">
        <f>J450+K450</f>
        <v>0</v>
      </c>
    </row>
    <row r="451" spans="1:244" ht="25" x14ac:dyDescent="0.25">
      <c r="A451" s="54"/>
      <c r="B451" s="44" t="s">
        <v>282</v>
      </c>
      <c r="C451" s="41" t="s">
        <v>53</v>
      </c>
      <c r="D451" s="41">
        <f>1</f>
        <v>1</v>
      </c>
      <c r="E451" s="45">
        <v>0.21</v>
      </c>
      <c r="F451" s="55">
        <f t="shared" si="134"/>
        <v>0.21</v>
      </c>
      <c r="G451" s="41" t="s">
        <v>53</v>
      </c>
      <c r="H451" s="41">
        <v>0</v>
      </c>
      <c r="I451" s="41">
        <v>0</v>
      </c>
      <c r="J451" s="41">
        <f t="shared" si="135"/>
        <v>0</v>
      </c>
      <c r="K451" s="41">
        <f t="shared" si="135"/>
        <v>0</v>
      </c>
      <c r="L451" s="41">
        <f t="shared" si="133"/>
        <v>0</v>
      </c>
      <c r="M451" s="81"/>
      <c r="N451" s="81"/>
      <c r="O451" s="81"/>
      <c r="P451" s="81"/>
      <c r="Q451" s="81"/>
      <c r="R451" s="81"/>
      <c r="S451" s="81"/>
      <c r="T451" s="81"/>
      <c r="U451" s="81"/>
      <c r="V451" s="81"/>
      <c r="W451" s="81"/>
      <c r="X451" s="81"/>
      <c r="Y451" s="81"/>
      <c r="Z451" s="81"/>
      <c r="AA451" s="81"/>
      <c r="AB451" s="81"/>
      <c r="AC451" s="81"/>
      <c r="AD451" s="81"/>
      <c r="AE451" s="81"/>
      <c r="AF451" s="81"/>
      <c r="AG451" s="81"/>
      <c r="AH451" s="81"/>
      <c r="AI451" s="81"/>
      <c r="AJ451" s="81"/>
      <c r="AK451" s="81"/>
      <c r="AL451" s="81"/>
      <c r="AM451" s="81"/>
      <c r="AN451" s="81"/>
      <c r="AO451" s="81"/>
      <c r="AP451" s="81"/>
      <c r="AQ451" s="81"/>
      <c r="AR451" s="81"/>
      <c r="AS451" s="81"/>
      <c r="AT451" s="81"/>
      <c r="AU451" s="81"/>
      <c r="AV451" s="81"/>
      <c r="AW451" s="81"/>
      <c r="AX451" s="81"/>
      <c r="AY451" s="81"/>
      <c r="AZ451" s="81"/>
      <c r="BA451" s="81"/>
      <c r="BB451" s="81"/>
      <c r="BC451" s="81"/>
      <c r="BD451" s="81"/>
      <c r="BE451" s="81"/>
      <c r="BF451" s="81"/>
      <c r="BG451" s="81"/>
      <c r="BH451" s="81"/>
      <c r="BI451" s="81"/>
      <c r="BJ451" s="81"/>
      <c r="BK451" s="81"/>
      <c r="BL451" s="81"/>
      <c r="BM451" s="81"/>
      <c r="BN451" s="81"/>
      <c r="BO451" s="81"/>
      <c r="BP451" s="81"/>
      <c r="BQ451" s="81"/>
      <c r="BR451" s="81"/>
      <c r="BS451" s="81"/>
      <c r="BT451" s="81"/>
      <c r="BU451" s="81"/>
      <c r="BV451" s="81"/>
      <c r="BW451" s="81"/>
      <c r="BX451" s="81"/>
      <c r="BY451" s="81"/>
      <c r="BZ451" s="81"/>
      <c r="CA451" s="81"/>
      <c r="CB451" s="81"/>
      <c r="CC451" s="81"/>
      <c r="CD451" s="81"/>
      <c r="CE451" s="81"/>
      <c r="CF451" s="81"/>
      <c r="CG451" s="81"/>
      <c r="CH451" s="81"/>
      <c r="CI451" s="81"/>
      <c r="CJ451" s="81"/>
      <c r="CK451" s="81"/>
      <c r="CL451" s="81"/>
      <c r="CM451" s="81"/>
      <c r="CN451" s="81"/>
      <c r="CO451" s="81"/>
      <c r="CP451" s="81"/>
      <c r="CQ451" s="81"/>
      <c r="CR451" s="81"/>
      <c r="CS451" s="81"/>
      <c r="CT451" s="81"/>
      <c r="CU451" s="81"/>
      <c r="CV451" s="81"/>
      <c r="CW451" s="81"/>
      <c r="CX451" s="81"/>
      <c r="CY451" s="81"/>
      <c r="CZ451" s="81"/>
      <c r="DA451" s="81"/>
      <c r="DB451" s="81"/>
      <c r="DC451" s="81"/>
      <c r="DD451" s="81"/>
      <c r="DE451" s="81"/>
      <c r="DF451" s="81"/>
      <c r="DG451" s="81"/>
      <c r="DH451" s="81"/>
      <c r="DI451" s="81"/>
      <c r="DJ451" s="81"/>
      <c r="DK451" s="81"/>
      <c r="DL451" s="81"/>
      <c r="DM451" s="81"/>
      <c r="DN451" s="81"/>
      <c r="DO451" s="81"/>
      <c r="DP451" s="81"/>
      <c r="DQ451" s="81"/>
      <c r="DR451" s="81"/>
      <c r="DS451" s="81"/>
      <c r="DT451" s="81"/>
      <c r="DU451" s="81"/>
      <c r="DV451" s="81"/>
      <c r="DW451" s="81"/>
      <c r="DX451" s="81"/>
      <c r="DY451" s="81"/>
      <c r="DZ451" s="81"/>
      <c r="EA451" s="81"/>
      <c r="EB451" s="81"/>
      <c r="EC451" s="81"/>
      <c r="ED451" s="81"/>
      <c r="EE451" s="81"/>
      <c r="EF451" s="81"/>
      <c r="EG451" s="81"/>
      <c r="EH451" s="81"/>
      <c r="EI451" s="81"/>
      <c r="EJ451" s="81"/>
      <c r="EK451" s="81"/>
      <c r="EL451" s="81"/>
      <c r="EM451" s="81"/>
      <c r="EN451" s="81"/>
      <c r="EO451" s="81"/>
      <c r="EP451" s="81"/>
      <c r="EQ451" s="81"/>
      <c r="ER451" s="81"/>
      <c r="ES451" s="81"/>
      <c r="ET451" s="81"/>
      <c r="EU451" s="81"/>
      <c r="EV451" s="81"/>
      <c r="EW451" s="81"/>
      <c r="EX451" s="81"/>
      <c r="EY451" s="81"/>
      <c r="EZ451" s="81"/>
      <c r="FA451" s="81"/>
      <c r="FB451" s="81"/>
      <c r="FC451" s="81"/>
      <c r="FD451" s="81"/>
      <c r="FE451" s="81"/>
      <c r="FF451" s="81"/>
      <c r="FG451" s="81"/>
      <c r="FH451" s="81"/>
      <c r="FI451" s="81"/>
      <c r="FJ451" s="81"/>
      <c r="FK451" s="81"/>
      <c r="FL451" s="81"/>
      <c r="FM451" s="81"/>
      <c r="FN451" s="81"/>
      <c r="FO451" s="81"/>
      <c r="FP451" s="81"/>
      <c r="FQ451" s="81"/>
      <c r="FR451" s="81"/>
      <c r="FS451" s="81"/>
      <c r="FT451" s="81"/>
      <c r="FU451" s="81"/>
      <c r="FV451" s="81"/>
      <c r="FW451" s="81"/>
      <c r="FX451" s="81"/>
      <c r="FY451" s="81"/>
      <c r="FZ451" s="81"/>
      <c r="GA451" s="81"/>
      <c r="GB451" s="81"/>
      <c r="GC451" s="81"/>
      <c r="GD451" s="81"/>
      <c r="GE451" s="81"/>
      <c r="GF451" s="81"/>
      <c r="GG451" s="81"/>
      <c r="GH451" s="81"/>
      <c r="GI451" s="81"/>
      <c r="GJ451" s="81"/>
      <c r="GK451" s="81"/>
      <c r="GL451" s="81"/>
      <c r="GM451" s="81"/>
      <c r="GN451" s="81"/>
      <c r="GO451" s="81"/>
      <c r="GP451" s="81"/>
      <c r="GQ451" s="81"/>
      <c r="GR451" s="81"/>
      <c r="GS451" s="81"/>
      <c r="GT451" s="81"/>
      <c r="GU451" s="81"/>
      <c r="GV451" s="81"/>
      <c r="GW451" s="81"/>
      <c r="GX451" s="81"/>
      <c r="GY451" s="81"/>
      <c r="GZ451" s="81"/>
      <c r="HA451" s="81"/>
      <c r="HB451" s="81"/>
      <c r="HC451" s="81"/>
      <c r="HD451" s="81"/>
      <c r="HE451" s="81"/>
      <c r="HF451" s="81"/>
      <c r="HG451" s="81"/>
      <c r="HH451" s="81"/>
      <c r="HI451" s="81"/>
      <c r="HJ451" s="81"/>
      <c r="HK451" s="81"/>
      <c r="HL451" s="81"/>
      <c r="HM451" s="81"/>
      <c r="HN451" s="81"/>
      <c r="HO451" s="81"/>
      <c r="HP451" s="81"/>
      <c r="HQ451" s="81"/>
      <c r="HR451" s="81"/>
      <c r="HS451" s="81"/>
      <c r="HT451" s="81"/>
      <c r="HU451" s="81"/>
      <c r="HV451" s="81"/>
      <c r="HW451" s="81"/>
      <c r="HX451" s="81"/>
      <c r="HY451" s="81"/>
      <c r="HZ451" s="81"/>
      <c r="IA451" s="81"/>
      <c r="IB451" s="81"/>
      <c r="IC451" s="81"/>
      <c r="ID451" s="81"/>
      <c r="IE451" s="81"/>
      <c r="IF451" s="81"/>
      <c r="IG451" s="81"/>
      <c r="IH451" s="81"/>
      <c r="II451" s="81"/>
      <c r="IJ451" s="81"/>
    </row>
    <row r="452" spans="1:244" ht="37.5" x14ac:dyDescent="0.25">
      <c r="A452" s="18"/>
      <c r="B452" s="6" t="s">
        <v>144</v>
      </c>
      <c r="C452" s="12" t="s">
        <v>76</v>
      </c>
      <c r="D452" s="12"/>
      <c r="E452" s="12">
        <v>0.15</v>
      </c>
      <c r="F452" s="12">
        <f>D452*E452</f>
        <v>0</v>
      </c>
      <c r="G452" s="12" t="s">
        <v>77</v>
      </c>
      <c r="H452" s="11">
        <v>0</v>
      </c>
      <c r="I452" s="11">
        <v>0</v>
      </c>
      <c r="J452" s="11">
        <f>$F452*H452</f>
        <v>0</v>
      </c>
      <c r="K452" s="11">
        <f t="shared" si="135"/>
        <v>0</v>
      </c>
      <c r="L452" s="11">
        <f t="shared" si="133"/>
        <v>0</v>
      </c>
    </row>
    <row r="453" spans="1:244" x14ac:dyDescent="0.25">
      <c r="A453" s="18"/>
      <c r="B453" s="9"/>
      <c r="C453" s="12"/>
      <c r="D453" s="12"/>
      <c r="E453" s="12"/>
      <c r="F453" s="12"/>
      <c r="G453" s="12"/>
      <c r="H453" s="11"/>
      <c r="I453" s="11"/>
      <c r="J453" s="11"/>
      <c r="K453" s="11"/>
      <c r="L453" s="11"/>
    </row>
    <row r="454" spans="1:244" ht="25" x14ac:dyDescent="0.25">
      <c r="A454" s="54"/>
      <c r="B454" s="44" t="s">
        <v>274</v>
      </c>
      <c r="C454" s="41" t="s">
        <v>68</v>
      </c>
      <c r="D454" s="76">
        <f>D444</f>
        <v>33</v>
      </c>
      <c r="E454" s="45"/>
      <c r="F454" s="55"/>
      <c r="G454" s="41" t="s">
        <v>68</v>
      </c>
      <c r="H454" s="41">
        <v>0</v>
      </c>
      <c r="I454" s="41">
        <v>0</v>
      </c>
      <c r="J454" s="41">
        <f t="shared" ref="J454:K459" si="136">$D454*H454</f>
        <v>0</v>
      </c>
      <c r="K454" s="41">
        <f t="shared" si="136"/>
        <v>0</v>
      </c>
      <c r="L454" s="41">
        <f t="shared" ref="L454:L459" si="137">J454+K454</f>
        <v>0</v>
      </c>
      <c r="M454" s="81"/>
      <c r="N454" s="81"/>
      <c r="O454" s="81"/>
      <c r="P454" s="81"/>
      <c r="Q454" s="81"/>
      <c r="R454" s="81"/>
      <c r="S454" s="81"/>
      <c r="T454" s="81"/>
      <c r="U454" s="81"/>
      <c r="V454" s="81"/>
      <c r="W454" s="81"/>
      <c r="X454" s="81"/>
      <c r="Y454" s="81"/>
      <c r="Z454" s="81"/>
      <c r="AA454" s="81"/>
      <c r="AB454" s="81"/>
      <c r="AC454" s="81"/>
      <c r="AD454" s="81"/>
      <c r="AE454" s="81"/>
      <c r="AF454" s="81"/>
      <c r="AG454" s="81"/>
      <c r="AH454" s="81"/>
      <c r="AI454" s="81"/>
      <c r="AJ454" s="81"/>
      <c r="AK454" s="81"/>
      <c r="AL454" s="81"/>
      <c r="AM454" s="81"/>
      <c r="AN454" s="81"/>
      <c r="AO454" s="81"/>
      <c r="AP454" s="81"/>
      <c r="AQ454" s="81"/>
      <c r="AR454" s="81"/>
      <c r="AS454" s="81"/>
      <c r="AT454" s="81"/>
      <c r="AU454" s="81"/>
      <c r="AV454" s="81"/>
      <c r="AW454" s="81"/>
      <c r="AX454" s="81"/>
      <c r="AY454" s="81"/>
      <c r="AZ454" s="81"/>
      <c r="BA454" s="81"/>
      <c r="BB454" s="81"/>
      <c r="BC454" s="81"/>
      <c r="BD454" s="81"/>
      <c r="BE454" s="81"/>
      <c r="BF454" s="81"/>
      <c r="BG454" s="81"/>
      <c r="BH454" s="81"/>
      <c r="BI454" s="81"/>
      <c r="BJ454" s="81"/>
      <c r="BK454" s="81"/>
      <c r="BL454" s="81"/>
      <c r="BM454" s="81"/>
      <c r="BN454" s="81"/>
      <c r="BO454" s="81"/>
      <c r="BP454" s="81"/>
      <c r="BQ454" s="81"/>
      <c r="BR454" s="81"/>
      <c r="BS454" s="81"/>
      <c r="BT454" s="81"/>
      <c r="BU454" s="81"/>
      <c r="BV454" s="81"/>
      <c r="BW454" s="81"/>
      <c r="BX454" s="81"/>
      <c r="BY454" s="81"/>
      <c r="BZ454" s="81"/>
      <c r="CA454" s="81"/>
      <c r="CB454" s="81"/>
      <c r="CC454" s="81"/>
      <c r="CD454" s="81"/>
      <c r="CE454" s="81"/>
      <c r="CF454" s="81"/>
      <c r="CG454" s="81"/>
      <c r="CH454" s="81"/>
      <c r="CI454" s="81"/>
      <c r="CJ454" s="81"/>
      <c r="CK454" s="81"/>
      <c r="CL454" s="81"/>
      <c r="CM454" s="81"/>
      <c r="CN454" s="81"/>
      <c r="CO454" s="81"/>
      <c r="CP454" s="81"/>
      <c r="CQ454" s="81"/>
      <c r="CR454" s="81"/>
      <c r="CS454" s="81"/>
      <c r="CT454" s="81"/>
      <c r="CU454" s="81"/>
      <c r="CV454" s="81"/>
      <c r="CW454" s="81"/>
      <c r="CX454" s="81"/>
      <c r="CY454" s="81"/>
      <c r="CZ454" s="81"/>
      <c r="DA454" s="81"/>
      <c r="DB454" s="81"/>
      <c r="DC454" s="81"/>
      <c r="DD454" s="81"/>
      <c r="DE454" s="81"/>
      <c r="DF454" s="81"/>
      <c r="DG454" s="81"/>
      <c r="DH454" s="81"/>
      <c r="DI454" s="81"/>
      <c r="DJ454" s="81"/>
      <c r="DK454" s="81"/>
      <c r="DL454" s="81"/>
      <c r="DM454" s="81"/>
      <c r="DN454" s="81"/>
      <c r="DO454" s="81"/>
      <c r="DP454" s="81"/>
      <c r="DQ454" s="81"/>
      <c r="DR454" s="81"/>
      <c r="DS454" s="81"/>
      <c r="DT454" s="81"/>
      <c r="DU454" s="81"/>
      <c r="DV454" s="81"/>
      <c r="DW454" s="81"/>
      <c r="DX454" s="81"/>
      <c r="DY454" s="81"/>
      <c r="DZ454" s="81"/>
      <c r="EA454" s="81"/>
      <c r="EB454" s="81"/>
      <c r="EC454" s="81"/>
      <c r="ED454" s="81"/>
      <c r="EE454" s="81"/>
      <c r="EF454" s="81"/>
      <c r="EG454" s="81"/>
      <c r="EH454" s="81"/>
      <c r="EI454" s="81"/>
      <c r="EJ454" s="81"/>
      <c r="EK454" s="81"/>
      <c r="EL454" s="81"/>
      <c r="EM454" s="81"/>
      <c r="EN454" s="81"/>
      <c r="EO454" s="81"/>
      <c r="EP454" s="81"/>
      <c r="EQ454" s="81"/>
      <c r="ER454" s="81"/>
      <c r="ES454" s="81"/>
      <c r="ET454" s="81"/>
      <c r="EU454" s="81"/>
      <c r="EV454" s="81"/>
      <c r="EW454" s="81"/>
      <c r="EX454" s="81"/>
      <c r="EY454" s="81"/>
      <c r="EZ454" s="81"/>
      <c r="FA454" s="81"/>
      <c r="FB454" s="81"/>
      <c r="FC454" s="81"/>
      <c r="FD454" s="81"/>
      <c r="FE454" s="81"/>
      <c r="FF454" s="81"/>
      <c r="FG454" s="81"/>
      <c r="FH454" s="81"/>
      <c r="FI454" s="81"/>
      <c r="FJ454" s="81"/>
      <c r="FK454" s="81"/>
      <c r="FL454" s="81"/>
      <c r="FM454" s="81"/>
      <c r="FN454" s="81"/>
      <c r="FO454" s="81"/>
      <c r="FP454" s="81"/>
      <c r="FQ454" s="81"/>
      <c r="FR454" s="81"/>
      <c r="FS454" s="81"/>
      <c r="FT454" s="81"/>
      <c r="FU454" s="81"/>
      <c r="FV454" s="81"/>
      <c r="FW454" s="81"/>
      <c r="FX454" s="81"/>
      <c r="FY454" s="81"/>
      <c r="FZ454" s="81"/>
      <c r="GA454" s="81"/>
      <c r="GB454" s="81"/>
      <c r="GC454" s="81"/>
      <c r="GD454" s="81"/>
      <c r="GE454" s="81"/>
      <c r="GF454" s="81"/>
      <c r="GG454" s="81"/>
      <c r="GH454" s="81"/>
      <c r="GI454" s="81"/>
      <c r="GJ454" s="81"/>
      <c r="GK454" s="81"/>
      <c r="GL454" s="81"/>
      <c r="GM454" s="81"/>
      <c r="GN454" s="81"/>
      <c r="GO454" s="81"/>
      <c r="GP454" s="81"/>
      <c r="GQ454" s="81"/>
      <c r="GR454" s="81"/>
      <c r="GS454" s="81"/>
      <c r="GT454" s="81"/>
      <c r="GU454" s="81"/>
      <c r="GV454" s="81"/>
      <c r="GW454" s="81"/>
      <c r="GX454" s="81"/>
      <c r="GY454" s="81"/>
      <c r="GZ454" s="81"/>
      <c r="HA454" s="81"/>
      <c r="HB454" s="81"/>
      <c r="HC454" s="81"/>
      <c r="HD454" s="81"/>
      <c r="HE454" s="81"/>
      <c r="HF454" s="81"/>
      <c r="HG454" s="81"/>
      <c r="HH454" s="81"/>
      <c r="HI454" s="81"/>
      <c r="HJ454" s="81"/>
      <c r="HK454" s="81"/>
      <c r="HL454" s="81"/>
      <c r="HM454" s="81"/>
      <c r="HN454" s="81"/>
      <c r="HO454" s="81"/>
      <c r="HP454" s="81"/>
      <c r="HQ454" s="81"/>
      <c r="HR454" s="81"/>
      <c r="HS454" s="81"/>
      <c r="HT454" s="81"/>
      <c r="HU454" s="81"/>
      <c r="HV454" s="81"/>
      <c r="HW454" s="81"/>
      <c r="HX454" s="81"/>
      <c r="HY454" s="81"/>
      <c r="HZ454" s="81"/>
      <c r="IA454" s="81"/>
      <c r="IB454" s="81"/>
      <c r="IC454" s="81"/>
      <c r="ID454" s="81"/>
      <c r="IE454" s="81"/>
      <c r="IF454" s="81"/>
      <c r="IG454" s="81"/>
      <c r="IH454" s="81"/>
      <c r="II454" s="81"/>
      <c r="IJ454" s="81"/>
    </row>
    <row r="455" spans="1:244" ht="25" x14ac:dyDescent="0.25">
      <c r="A455" s="54"/>
      <c r="B455" s="44" t="s">
        <v>277</v>
      </c>
      <c r="C455" s="41" t="s">
        <v>68</v>
      </c>
      <c r="D455" s="76">
        <f>D445</f>
        <v>30</v>
      </c>
      <c r="E455" s="45"/>
      <c r="F455" s="41"/>
      <c r="G455" s="41" t="s">
        <v>68</v>
      </c>
      <c r="H455" s="41">
        <v>0</v>
      </c>
      <c r="I455" s="41">
        <v>0</v>
      </c>
      <c r="J455" s="41">
        <f t="shared" si="136"/>
        <v>0</v>
      </c>
      <c r="K455" s="41">
        <f t="shared" si="136"/>
        <v>0</v>
      </c>
      <c r="L455" s="41">
        <f t="shared" si="137"/>
        <v>0</v>
      </c>
      <c r="M455" s="81"/>
      <c r="N455" s="81"/>
      <c r="O455" s="81"/>
      <c r="P455" s="81"/>
      <c r="Q455" s="81"/>
      <c r="R455" s="81"/>
      <c r="S455" s="81"/>
      <c r="T455" s="81"/>
      <c r="U455" s="81"/>
      <c r="V455" s="81"/>
      <c r="W455" s="81"/>
      <c r="X455" s="81"/>
      <c r="Y455" s="81"/>
      <c r="Z455" s="81"/>
      <c r="AA455" s="81"/>
      <c r="AB455" s="81"/>
      <c r="AC455" s="81"/>
      <c r="AD455" s="81"/>
      <c r="AE455" s="81"/>
      <c r="AF455" s="81"/>
      <c r="AG455" s="81"/>
      <c r="AH455" s="81"/>
      <c r="AI455" s="81"/>
      <c r="AJ455" s="81"/>
      <c r="AK455" s="81"/>
      <c r="AL455" s="81"/>
      <c r="AM455" s="81"/>
      <c r="AN455" s="81"/>
      <c r="AO455" s="81"/>
      <c r="AP455" s="81"/>
      <c r="AQ455" s="81"/>
      <c r="AR455" s="81"/>
      <c r="AS455" s="81"/>
      <c r="AT455" s="81"/>
      <c r="AU455" s="81"/>
      <c r="AV455" s="81"/>
      <c r="AW455" s="81"/>
      <c r="AX455" s="81"/>
      <c r="AY455" s="81"/>
      <c r="AZ455" s="81"/>
      <c r="BA455" s="81"/>
      <c r="BB455" s="81"/>
      <c r="BC455" s="81"/>
      <c r="BD455" s="81"/>
      <c r="BE455" s="81"/>
      <c r="BF455" s="81"/>
      <c r="BG455" s="81"/>
      <c r="BH455" s="81"/>
      <c r="BI455" s="81"/>
      <c r="BJ455" s="81"/>
      <c r="BK455" s="81"/>
      <c r="BL455" s="81"/>
      <c r="BM455" s="81"/>
      <c r="BN455" s="81"/>
      <c r="BO455" s="81"/>
      <c r="BP455" s="81"/>
      <c r="BQ455" s="81"/>
      <c r="BR455" s="81"/>
      <c r="BS455" s="81"/>
      <c r="BT455" s="81"/>
      <c r="BU455" s="81"/>
      <c r="BV455" s="81"/>
      <c r="BW455" s="81"/>
      <c r="BX455" s="81"/>
      <c r="BY455" s="81"/>
      <c r="BZ455" s="81"/>
      <c r="CA455" s="81"/>
      <c r="CB455" s="81"/>
      <c r="CC455" s="81"/>
      <c r="CD455" s="81"/>
      <c r="CE455" s="81"/>
      <c r="CF455" s="81"/>
      <c r="CG455" s="81"/>
      <c r="CH455" s="81"/>
      <c r="CI455" s="81"/>
      <c r="CJ455" s="81"/>
      <c r="CK455" s="81"/>
      <c r="CL455" s="81"/>
      <c r="CM455" s="81"/>
      <c r="CN455" s="81"/>
      <c r="CO455" s="81"/>
      <c r="CP455" s="81"/>
      <c r="CQ455" s="81"/>
      <c r="CR455" s="81"/>
      <c r="CS455" s="81"/>
      <c r="CT455" s="81"/>
      <c r="CU455" s="81"/>
      <c r="CV455" s="81"/>
      <c r="CW455" s="81"/>
      <c r="CX455" s="81"/>
      <c r="CY455" s="81"/>
      <c r="CZ455" s="81"/>
      <c r="DA455" s="81"/>
      <c r="DB455" s="81"/>
      <c r="DC455" s="81"/>
      <c r="DD455" s="81"/>
      <c r="DE455" s="81"/>
      <c r="DF455" s="81"/>
      <c r="DG455" s="81"/>
      <c r="DH455" s="81"/>
      <c r="DI455" s="81"/>
      <c r="DJ455" s="81"/>
      <c r="DK455" s="81"/>
      <c r="DL455" s="81"/>
      <c r="DM455" s="81"/>
      <c r="DN455" s="81"/>
      <c r="DO455" s="81"/>
      <c r="DP455" s="81"/>
      <c r="DQ455" s="81"/>
      <c r="DR455" s="81"/>
      <c r="DS455" s="81"/>
      <c r="DT455" s="81"/>
      <c r="DU455" s="81"/>
      <c r="DV455" s="81"/>
      <c r="DW455" s="81"/>
      <c r="DX455" s="81"/>
      <c r="DY455" s="81"/>
      <c r="DZ455" s="81"/>
      <c r="EA455" s="81"/>
      <c r="EB455" s="81"/>
      <c r="EC455" s="81"/>
      <c r="ED455" s="81"/>
      <c r="EE455" s="81"/>
      <c r="EF455" s="81"/>
      <c r="EG455" s="81"/>
      <c r="EH455" s="81"/>
      <c r="EI455" s="81"/>
      <c r="EJ455" s="81"/>
      <c r="EK455" s="81"/>
      <c r="EL455" s="81"/>
      <c r="EM455" s="81"/>
      <c r="EN455" s="81"/>
      <c r="EO455" s="81"/>
      <c r="EP455" s="81"/>
      <c r="EQ455" s="81"/>
      <c r="ER455" s="81"/>
      <c r="ES455" s="81"/>
      <c r="ET455" s="81"/>
      <c r="EU455" s="81"/>
      <c r="EV455" s="81"/>
      <c r="EW455" s="81"/>
      <c r="EX455" s="81"/>
      <c r="EY455" s="81"/>
      <c r="EZ455" s="81"/>
      <c r="FA455" s="81"/>
      <c r="FB455" s="81"/>
      <c r="FC455" s="81"/>
      <c r="FD455" s="81"/>
      <c r="FE455" s="81"/>
      <c r="FF455" s="81"/>
      <c r="FG455" s="81"/>
      <c r="FH455" s="81"/>
      <c r="FI455" s="81"/>
      <c r="FJ455" s="81"/>
      <c r="FK455" s="81"/>
      <c r="FL455" s="81"/>
      <c r="FM455" s="81"/>
      <c r="FN455" s="81"/>
      <c r="FO455" s="81"/>
      <c r="FP455" s="81"/>
      <c r="FQ455" s="81"/>
      <c r="FR455" s="81"/>
      <c r="FS455" s="81"/>
      <c r="FT455" s="81"/>
      <c r="FU455" s="81"/>
      <c r="FV455" s="81"/>
      <c r="FW455" s="81"/>
      <c r="FX455" s="81"/>
      <c r="FY455" s="81"/>
      <c r="FZ455" s="81"/>
      <c r="GA455" s="81"/>
      <c r="GB455" s="81"/>
      <c r="GC455" s="81"/>
      <c r="GD455" s="81"/>
      <c r="GE455" s="81"/>
      <c r="GF455" s="81"/>
      <c r="GG455" s="81"/>
      <c r="GH455" s="81"/>
      <c r="GI455" s="81"/>
      <c r="GJ455" s="81"/>
      <c r="GK455" s="81"/>
      <c r="GL455" s="81"/>
      <c r="GM455" s="81"/>
      <c r="GN455" s="81"/>
      <c r="GO455" s="81"/>
      <c r="GP455" s="81"/>
      <c r="GQ455" s="81"/>
      <c r="GR455" s="81"/>
      <c r="GS455" s="81"/>
      <c r="GT455" s="81"/>
      <c r="GU455" s="81"/>
      <c r="GV455" s="81"/>
      <c r="GW455" s="81"/>
      <c r="GX455" s="81"/>
      <c r="GY455" s="81"/>
      <c r="GZ455" s="81"/>
      <c r="HA455" s="81"/>
      <c r="HB455" s="81"/>
      <c r="HC455" s="81"/>
      <c r="HD455" s="81"/>
      <c r="HE455" s="81"/>
      <c r="HF455" s="81"/>
      <c r="HG455" s="81"/>
      <c r="HH455" s="81"/>
      <c r="HI455" s="81"/>
      <c r="HJ455" s="81"/>
      <c r="HK455" s="81"/>
      <c r="HL455" s="81"/>
      <c r="HM455" s="81"/>
      <c r="HN455" s="81"/>
      <c r="HO455" s="81"/>
      <c r="HP455" s="81"/>
      <c r="HQ455" s="81"/>
      <c r="HR455" s="81"/>
      <c r="HS455" s="81"/>
      <c r="HT455" s="81"/>
      <c r="HU455" s="81"/>
      <c r="HV455" s="81"/>
      <c r="HW455" s="81"/>
      <c r="HX455" s="81"/>
      <c r="HY455" s="81"/>
      <c r="HZ455" s="81"/>
      <c r="IA455" s="81"/>
      <c r="IB455" s="81"/>
      <c r="IC455" s="81"/>
      <c r="ID455" s="81"/>
      <c r="IE455" s="81"/>
      <c r="IF455" s="81"/>
      <c r="IG455" s="81"/>
      <c r="IH455" s="81"/>
      <c r="II455" s="81"/>
      <c r="IJ455" s="81"/>
    </row>
    <row r="456" spans="1:244" x14ac:dyDescent="0.25">
      <c r="A456" s="61"/>
      <c r="B456" s="62" t="s">
        <v>377</v>
      </c>
      <c r="C456" s="26" t="s">
        <v>53</v>
      </c>
      <c r="D456" s="12">
        <v>14</v>
      </c>
      <c r="E456" s="12">
        <v>13.75</v>
      </c>
      <c r="F456" s="12">
        <f>D456*E456</f>
        <v>192.5</v>
      </c>
      <c r="G456" s="41" t="s">
        <v>53</v>
      </c>
      <c r="H456" s="41"/>
      <c r="I456" s="41">
        <v>0</v>
      </c>
      <c r="J456" s="41">
        <f t="shared" si="136"/>
        <v>0</v>
      </c>
      <c r="K456" s="41">
        <f t="shared" si="136"/>
        <v>0</v>
      </c>
      <c r="L456" s="41">
        <f t="shared" si="137"/>
        <v>0</v>
      </c>
    </row>
    <row r="457" spans="1:244" x14ac:dyDescent="0.25">
      <c r="A457" s="61"/>
      <c r="B457" s="62" t="s">
        <v>378</v>
      </c>
      <c r="C457" s="26" t="s">
        <v>53</v>
      </c>
      <c r="D457" s="12">
        <v>2</v>
      </c>
      <c r="E457" s="12">
        <v>7.4</v>
      </c>
      <c r="F457" s="12">
        <f>D457*E457</f>
        <v>14.8</v>
      </c>
      <c r="G457" s="41" t="s">
        <v>53</v>
      </c>
      <c r="H457" s="41">
        <v>0</v>
      </c>
      <c r="I457" s="41">
        <v>0</v>
      </c>
      <c r="J457" s="41">
        <f t="shared" si="136"/>
        <v>0</v>
      </c>
      <c r="K457" s="41">
        <f t="shared" si="136"/>
        <v>0</v>
      </c>
      <c r="L457" s="41">
        <f t="shared" si="137"/>
        <v>0</v>
      </c>
    </row>
    <row r="458" spans="1:244" x14ac:dyDescent="0.25">
      <c r="A458" s="61"/>
      <c r="B458" s="62" t="s">
        <v>379</v>
      </c>
      <c r="C458" s="26" t="s">
        <v>53</v>
      </c>
      <c r="D458" s="12">
        <v>8</v>
      </c>
      <c r="E458" s="12">
        <v>4.5</v>
      </c>
      <c r="F458" s="12">
        <f>D458*E458</f>
        <v>36</v>
      </c>
      <c r="G458" s="41" t="s">
        <v>53</v>
      </c>
      <c r="H458" s="41">
        <v>0</v>
      </c>
      <c r="I458" s="41">
        <v>0</v>
      </c>
      <c r="J458" s="41">
        <f t="shared" si="136"/>
        <v>0</v>
      </c>
      <c r="K458" s="41">
        <f t="shared" si="136"/>
        <v>0</v>
      </c>
      <c r="L458" s="41">
        <f t="shared" si="137"/>
        <v>0</v>
      </c>
    </row>
    <row r="459" spans="1:244" x14ac:dyDescent="0.25">
      <c r="A459" s="61"/>
      <c r="B459" s="62" t="s">
        <v>380</v>
      </c>
      <c r="C459" s="26" t="s">
        <v>53</v>
      </c>
      <c r="D459" s="12">
        <v>2</v>
      </c>
      <c r="E459" s="12">
        <v>4.4000000000000004</v>
      </c>
      <c r="F459" s="12">
        <f>D459*E459</f>
        <v>8.8000000000000007</v>
      </c>
      <c r="G459" s="41" t="s">
        <v>53</v>
      </c>
      <c r="H459" s="41">
        <v>0</v>
      </c>
      <c r="I459" s="41">
        <v>0</v>
      </c>
      <c r="J459" s="41">
        <f t="shared" si="136"/>
        <v>0</v>
      </c>
      <c r="K459" s="41">
        <f t="shared" si="136"/>
        <v>0</v>
      </c>
      <c r="L459" s="41">
        <f t="shared" si="137"/>
        <v>0</v>
      </c>
    </row>
    <row r="460" spans="1:244" x14ac:dyDescent="0.25">
      <c r="A460" s="61"/>
      <c r="B460" s="62"/>
      <c r="C460" s="26"/>
      <c r="D460" s="12"/>
      <c r="E460" s="12"/>
      <c r="F460" s="12"/>
      <c r="G460" s="41"/>
      <c r="H460" s="41"/>
      <c r="I460" s="41"/>
      <c r="J460" s="41"/>
      <c r="K460" s="41"/>
      <c r="L460" s="41"/>
    </row>
    <row r="461" spans="1:244" x14ac:dyDescent="0.25">
      <c r="A461" s="18"/>
      <c r="B461" s="9" t="s">
        <v>79</v>
      </c>
      <c r="C461" s="12" t="s">
        <v>71</v>
      </c>
      <c r="D461" s="12">
        <f>24</f>
        <v>24</v>
      </c>
      <c r="E461" s="12"/>
      <c r="F461" s="12"/>
      <c r="G461" s="12" t="s">
        <v>71</v>
      </c>
      <c r="H461" s="11">
        <v>0</v>
      </c>
      <c r="I461" s="11">
        <v>0</v>
      </c>
      <c r="J461" s="11"/>
      <c r="K461" s="11">
        <f>$D461*I461</f>
        <v>0</v>
      </c>
      <c r="L461" s="11">
        <f>J461+K461</f>
        <v>0</v>
      </c>
    </row>
    <row r="462" spans="1:244" x14ac:dyDescent="0.25">
      <c r="B462" s="2"/>
      <c r="D462" s="1"/>
      <c r="E462" s="1"/>
      <c r="F462" s="1"/>
      <c r="G462" s="1"/>
      <c r="L462" s="1"/>
    </row>
    <row r="463" spans="1:244" ht="14" x14ac:dyDescent="0.25">
      <c r="A463" s="63"/>
      <c r="B463" s="64" t="s">
        <v>83</v>
      </c>
      <c r="C463" s="41"/>
      <c r="D463" s="1"/>
      <c r="E463" s="67"/>
      <c r="F463" s="80">
        <f>CEILING(SUM(F432:F462),10)</f>
        <v>29440</v>
      </c>
      <c r="G463" s="65"/>
      <c r="H463" s="65"/>
      <c r="I463" s="65"/>
      <c r="J463" s="80">
        <f>CEILING(SUM(J432:J462),100)</f>
        <v>0</v>
      </c>
      <c r="K463" s="80">
        <f>CEILING(SUM(K432:K462),100)</f>
        <v>0</v>
      </c>
      <c r="L463" s="80">
        <f>J463+K463</f>
        <v>0</v>
      </c>
      <c r="M463" s="66"/>
      <c r="N463" s="66"/>
      <c r="O463" s="66"/>
      <c r="P463" s="66"/>
      <c r="Q463" s="66"/>
      <c r="R463" s="66"/>
      <c r="S463" s="66"/>
      <c r="T463" s="66"/>
      <c r="U463" s="66"/>
      <c r="V463" s="66"/>
      <c r="W463" s="66"/>
      <c r="X463" s="66"/>
      <c r="Y463" s="66"/>
      <c r="Z463" s="66"/>
      <c r="AA463" s="66"/>
      <c r="AB463" s="66"/>
      <c r="AC463" s="66"/>
      <c r="AD463" s="66"/>
      <c r="AE463" s="66"/>
      <c r="AF463" s="66"/>
      <c r="AG463" s="66"/>
      <c r="AH463" s="66"/>
      <c r="AI463" s="66"/>
      <c r="AJ463" s="66"/>
      <c r="AK463" s="66"/>
      <c r="AL463" s="66"/>
      <c r="AM463" s="66"/>
      <c r="AN463" s="66"/>
      <c r="AO463" s="66"/>
      <c r="AP463" s="66"/>
      <c r="AQ463" s="66"/>
      <c r="AR463" s="66"/>
      <c r="AS463" s="66"/>
      <c r="AT463" s="66"/>
      <c r="AU463" s="66"/>
      <c r="AV463" s="66"/>
      <c r="AW463" s="66"/>
      <c r="AX463" s="66"/>
      <c r="AY463" s="66"/>
      <c r="AZ463" s="66"/>
      <c r="BA463" s="66"/>
      <c r="BB463" s="66"/>
      <c r="BC463" s="66"/>
      <c r="BD463" s="66"/>
      <c r="BE463" s="66"/>
      <c r="BF463" s="66"/>
      <c r="BG463" s="66"/>
      <c r="BH463" s="66"/>
      <c r="BI463" s="66"/>
      <c r="BJ463" s="66"/>
      <c r="BK463" s="66"/>
      <c r="BL463" s="66"/>
      <c r="BM463" s="66"/>
      <c r="BN463" s="66"/>
      <c r="BO463" s="66"/>
      <c r="BP463" s="66"/>
      <c r="BQ463" s="66"/>
      <c r="BR463" s="66"/>
      <c r="BS463" s="66"/>
      <c r="BT463" s="66"/>
      <c r="BU463" s="66"/>
      <c r="BV463" s="66"/>
      <c r="BW463" s="66"/>
      <c r="BX463" s="66"/>
      <c r="BY463" s="66"/>
      <c r="BZ463" s="66"/>
      <c r="CA463" s="66"/>
      <c r="CB463" s="66"/>
      <c r="CC463" s="66"/>
      <c r="CD463" s="66"/>
      <c r="CE463" s="66"/>
      <c r="CF463" s="66"/>
      <c r="CG463" s="66"/>
      <c r="CH463" s="66"/>
      <c r="CI463" s="66"/>
      <c r="CJ463" s="66"/>
      <c r="CK463" s="66"/>
      <c r="CL463" s="66"/>
      <c r="CM463" s="66"/>
      <c r="CN463" s="66"/>
      <c r="CO463" s="66"/>
      <c r="CP463" s="66"/>
      <c r="CQ463" s="66"/>
      <c r="CR463" s="66"/>
      <c r="CS463" s="66"/>
      <c r="CT463" s="66"/>
      <c r="CU463" s="66"/>
      <c r="CV463" s="66"/>
      <c r="CW463" s="66"/>
      <c r="CX463" s="66"/>
      <c r="CY463" s="66"/>
      <c r="CZ463" s="66"/>
      <c r="DA463" s="66"/>
      <c r="DB463" s="66"/>
      <c r="DC463" s="66"/>
      <c r="DD463" s="66"/>
      <c r="DE463" s="66"/>
      <c r="DF463" s="66"/>
      <c r="DG463" s="66"/>
      <c r="DH463" s="66"/>
      <c r="DI463" s="66"/>
      <c r="DJ463" s="66"/>
      <c r="DK463" s="66"/>
      <c r="DL463" s="66"/>
      <c r="DM463" s="66"/>
      <c r="DN463" s="66"/>
      <c r="DO463" s="66"/>
      <c r="DP463" s="66"/>
      <c r="DQ463" s="66"/>
      <c r="DR463" s="66"/>
      <c r="DS463" s="66"/>
      <c r="DT463" s="66"/>
      <c r="DU463" s="66"/>
      <c r="DV463" s="66"/>
      <c r="DW463" s="66"/>
      <c r="DX463" s="66"/>
      <c r="DY463" s="66"/>
      <c r="DZ463" s="66"/>
      <c r="EA463" s="66"/>
      <c r="EB463" s="66"/>
      <c r="EC463" s="66"/>
      <c r="ED463" s="66"/>
      <c r="EE463" s="66"/>
      <c r="EF463" s="66"/>
      <c r="EG463" s="66"/>
      <c r="EH463" s="66"/>
      <c r="EI463" s="66"/>
      <c r="EJ463" s="66"/>
      <c r="EK463" s="66"/>
      <c r="EL463" s="66"/>
      <c r="EM463" s="66"/>
      <c r="EN463" s="66"/>
      <c r="EO463" s="66"/>
      <c r="EP463" s="66"/>
      <c r="EQ463" s="66"/>
      <c r="ER463" s="66"/>
      <c r="ES463" s="66"/>
      <c r="ET463" s="66"/>
      <c r="EU463" s="66"/>
      <c r="EV463" s="66"/>
      <c r="EW463" s="66"/>
      <c r="EX463" s="66"/>
      <c r="EY463" s="66"/>
      <c r="EZ463" s="66"/>
      <c r="FA463" s="66"/>
      <c r="FB463" s="66"/>
      <c r="FC463" s="66"/>
      <c r="FD463" s="66"/>
      <c r="FE463" s="66"/>
      <c r="FF463" s="66"/>
      <c r="FG463" s="66"/>
      <c r="FH463" s="66"/>
      <c r="FI463" s="66"/>
      <c r="FJ463" s="66"/>
      <c r="FK463" s="66"/>
      <c r="FL463" s="66"/>
      <c r="FM463" s="66"/>
      <c r="FN463" s="66"/>
      <c r="FO463" s="66"/>
      <c r="FP463" s="66"/>
      <c r="FQ463" s="66"/>
      <c r="FR463" s="66"/>
      <c r="FS463" s="66"/>
      <c r="FT463" s="66"/>
      <c r="FU463" s="66"/>
      <c r="FV463" s="66"/>
      <c r="FW463" s="66"/>
      <c r="FX463" s="66"/>
      <c r="FY463" s="66"/>
      <c r="FZ463" s="66"/>
      <c r="GA463" s="66"/>
      <c r="GB463" s="66"/>
      <c r="GC463" s="66"/>
      <c r="GD463" s="66"/>
      <c r="GE463" s="66"/>
      <c r="GF463" s="66"/>
      <c r="GG463" s="66"/>
      <c r="GH463" s="66"/>
      <c r="GI463" s="66"/>
      <c r="GJ463" s="66"/>
      <c r="GK463" s="66"/>
      <c r="GL463" s="66"/>
      <c r="GM463" s="66"/>
      <c r="GN463" s="66"/>
      <c r="GO463" s="66"/>
      <c r="GP463" s="66"/>
      <c r="GQ463" s="66"/>
      <c r="GR463" s="66"/>
      <c r="GS463" s="66"/>
      <c r="GT463" s="66"/>
      <c r="GU463" s="66"/>
      <c r="GV463" s="66"/>
      <c r="GW463" s="66"/>
      <c r="GX463" s="66"/>
      <c r="GY463" s="66"/>
      <c r="GZ463" s="66"/>
      <c r="HA463" s="66"/>
      <c r="HB463" s="66"/>
      <c r="HC463" s="66"/>
      <c r="HD463" s="66"/>
      <c r="HE463" s="66"/>
      <c r="HF463" s="66"/>
      <c r="HG463" s="66"/>
      <c r="HH463" s="66"/>
      <c r="HI463" s="66"/>
      <c r="HJ463" s="66"/>
      <c r="HK463" s="66"/>
      <c r="HL463" s="66"/>
      <c r="HM463" s="66"/>
      <c r="HN463" s="66"/>
      <c r="HO463" s="66"/>
      <c r="HP463" s="66"/>
      <c r="HQ463" s="66"/>
      <c r="HR463" s="66"/>
      <c r="HS463" s="66"/>
      <c r="HT463" s="66"/>
      <c r="HU463" s="66"/>
      <c r="HV463" s="66"/>
      <c r="HW463" s="66"/>
      <c r="HX463" s="66"/>
      <c r="HY463" s="66"/>
      <c r="HZ463" s="66"/>
      <c r="IA463" s="66"/>
      <c r="IB463" s="66"/>
      <c r="IC463" s="66"/>
      <c r="ID463" s="66"/>
      <c r="IE463" s="66"/>
      <c r="IF463" s="66"/>
      <c r="IG463" s="66"/>
      <c r="IH463" s="66"/>
      <c r="II463" s="66"/>
      <c r="IJ463" s="66"/>
    </row>
    <row r="464" spans="1:244" x14ac:dyDescent="0.25">
      <c r="A464" s="18"/>
      <c r="B464" s="9"/>
      <c r="C464" s="12"/>
      <c r="D464" s="24"/>
      <c r="E464" s="12"/>
      <c r="F464" s="12"/>
      <c r="G464" s="12"/>
      <c r="H464" s="11"/>
      <c r="I464" s="11"/>
      <c r="J464" s="11"/>
      <c r="K464" s="11"/>
      <c r="L464" s="11"/>
    </row>
    <row r="465" spans="1:244" s="81" customFormat="1" ht="15.5" x14ac:dyDescent="0.25">
      <c r="A465" s="73" t="s">
        <v>16</v>
      </c>
      <c r="B465" s="74" t="str">
        <f>B6</f>
        <v>Ostatní výkony</v>
      </c>
      <c r="C465" s="14"/>
      <c r="D465" s="14"/>
      <c r="E465" s="14"/>
      <c r="F465" s="14"/>
      <c r="G465" s="14"/>
      <c r="H465" s="38"/>
      <c r="I465" s="38"/>
      <c r="J465" s="38"/>
      <c r="K465" s="38"/>
      <c r="L465" s="38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F465" s="37"/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7"/>
      <c r="AR465" s="37"/>
      <c r="AS465" s="37"/>
      <c r="AT465" s="37"/>
      <c r="AU465" s="37"/>
      <c r="AV465" s="37"/>
      <c r="AW465" s="37"/>
      <c r="AX465" s="37"/>
      <c r="AY465" s="37"/>
      <c r="AZ465" s="37"/>
      <c r="BA465" s="37"/>
      <c r="BB465" s="37"/>
      <c r="BC465" s="37"/>
      <c r="BD465" s="37"/>
      <c r="BE465" s="37"/>
      <c r="BF465" s="37"/>
      <c r="BG465" s="37"/>
      <c r="BH465" s="37"/>
      <c r="BI465" s="37"/>
      <c r="BJ465" s="37"/>
      <c r="BK465" s="37"/>
      <c r="BL465" s="37"/>
      <c r="BM465" s="37"/>
      <c r="BN465" s="37"/>
      <c r="BO465" s="37"/>
      <c r="BP465" s="37"/>
      <c r="BQ465" s="37"/>
      <c r="BR465" s="37"/>
      <c r="BS465" s="37"/>
      <c r="BT465" s="37"/>
      <c r="BU465" s="37"/>
      <c r="BV465" s="37"/>
      <c r="BW465" s="37"/>
      <c r="BX465" s="37"/>
      <c r="BY465" s="37"/>
      <c r="BZ465" s="37"/>
      <c r="CA465" s="37"/>
      <c r="CB465" s="37"/>
      <c r="CC465" s="37"/>
      <c r="CD465" s="37"/>
      <c r="CE465" s="37"/>
      <c r="CF465" s="37"/>
      <c r="CG465" s="37"/>
      <c r="CH465" s="37"/>
      <c r="CI465" s="37"/>
      <c r="CJ465" s="37"/>
      <c r="CK465" s="37"/>
      <c r="CL465" s="37"/>
      <c r="CM465" s="37"/>
      <c r="CN465" s="37"/>
      <c r="CO465" s="37"/>
      <c r="CP465" s="37"/>
      <c r="CQ465" s="37"/>
      <c r="CR465" s="37"/>
      <c r="CS465" s="37"/>
      <c r="CT465" s="37"/>
      <c r="CU465" s="37"/>
      <c r="CV465" s="37"/>
      <c r="CW465" s="37"/>
      <c r="CX465" s="37"/>
      <c r="CY465" s="37"/>
      <c r="CZ465" s="37"/>
      <c r="DA465" s="37"/>
      <c r="DB465" s="37"/>
      <c r="DC465" s="37"/>
      <c r="DD465" s="37"/>
      <c r="DE465" s="37"/>
      <c r="DF465" s="37"/>
      <c r="DG465" s="37"/>
      <c r="DH465" s="37"/>
      <c r="DI465" s="37"/>
      <c r="DJ465" s="37"/>
      <c r="DK465" s="37"/>
      <c r="DL465" s="37"/>
      <c r="DM465" s="37"/>
      <c r="DN465" s="37"/>
      <c r="DO465" s="37"/>
      <c r="DP465" s="37"/>
      <c r="DQ465" s="37"/>
      <c r="DR465" s="37"/>
      <c r="DS465" s="37"/>
      <c r="DT465" s="37"/>
      <c r="DU465" s="37"/>
      <c r="DV465" s="37"/>
      <c r="DW465" s="37"/>
      <c r="DX465" s="37"/>
      <c r="DY465" s="37"/>
      <c r="DZ465" s="37"/>
      <c r="EA465" s="37"/>
      <c r="EB465" s="37"/>
      <c r="EC465" s="37"/>
      <c r="ED465" s="37"/>
      <c r="EE465" s="37"/>
      <c r="EF465" s="37"/>
      <c r="EG465" s="37"/>
      <c r="EH465" s="37"/>
      <c r="EI465" s="37"/>
      <c r="EJ465" s="37"/>
      <c r="EK465" s="37"/>
      <c r="EL465" s="37"/>
      <c r="EM465" s="37"/>
      <c r="EN465" s="37"/>
      <c r="EO465" s="37"/>
      <c r="EP465" s="37"/>
      <c r="EQ465" s="37"/>
      <c r="ER465" s="37"/>
      <c r="ES465" s="37"/>
      <c r="ET465" s="37"/>
      <c r="EU465" s="37"/>
      <c r="EV465" s="37"/>
      <c r="EW465" s="37"/>
      <c r="EX465" s="37"/>
      <c r="EY465" s="37"/>
      <c r="EZ465" s="37"/>
      <c r="FA465" s="37"/>
      <c r="FB465" s="37"/>
      <c r="FC465" s="37"/>
      <c r="FD465" s="37"/>
      <c r="FE465" s="37"/>
      <c r="FF465" s="37"/>
      <c r="FG465" s="37"/>
      <c r="FH465" s="37"/>
      <c r="FI465" s="37"/>
      <c r="FJ465" s="37"/>
      <c r="FK465" s="37"/>
      <c r="FL465" s="37"/>
      <c r="FM465" s="37"/>
      <c r="FN465" s="37"/>
      <c r="FO465" s="37"/>
      <c r="FP465" s="37"/>
      <c r="FQ465" s="37"/>
      <c r="FR465" s="37"/>
      <c r="FS465" s="37"/>
      <c r="FT465" s="37"/>
      <c r="FU465" s="37"/>
      <c r="FV465" s="37"/>
      <c r="FW465" s="37"/>
      <c r="FX465" s="37"/>
      <c r="FY465" s="37"/>
      <c r="FZ465" s="37"/>
      <c r="GA465" s="37"/>
      <c r="GB465" s="37"/>
      <c r="GC465" s="37"/>
      <c r="GD465" s="37"/>
      <c r="GE465" s="37"/>
      <c r="GF465" s="37"/>
      <c r="GG465" s="37"/>
      <c r="GH465" s="37"/>
      <c r="GI465" s="37"/>
      <c r="GJ465" s="37"/>
      <c r="GK465" s="37"/>
      <c r="GL465" s="37"/>
      <c r="GM465" s="37"/>
      <c r="GN465" s="37"/>
      <c r="GO465" s="37"/>
      <c r="GP465" s="37"/>
      <c r="GQ465" s="37"/>
      <c r="GR465" s="37"/>
      <c r="GS465" s="37"/>
      <c r="GT465" s="37"/>
      <c r="GU465" s="37"/>
      <c r="GV465" s="37"/>
      <c r="GW465" s="37"/>
      <c r="GX465" s="37"/>
      <c r="GY465" s="37"/>
      <c r="GZ465" s="37"/>
      <c r="HA465" s="37"/>
      <c r="HB465" s="37"/>
      <c r="HC465" s="37"/>
      <c r="HD465" s="37"/>
      <c r="HE465" s="37"/>
      <c r="HF465" s="37"/>
      <c r="HG465" s="37"/>
      <c r="HH465" s="37"/>
      <c r="HI465" s="37"/>
      <c r="HJ465" s="37"/>
      <c r="HK465" s="37"/>
      <c r="HL465" s="37"/>
      <c r="HM465" s="37"/>
      <c r="HN465" s="37"/>
      <c r="HO465" s="37"/>
      <c r="HP465" s="37"/>
      <c r="HQ465" s="37"/>
      <c r="HR465" s="37"/>
      <c r="HS465" s="37"/>
      <c r="HT465" s="37"/>
      <c r="HU465" s="37"/>
      <c r="HV465" s="37"/>
      <c r="HW465" s="37"/>
      <c r="HX465" s="37"/>
      <c r="HY465" s="37"/>
      <c r="HZ465" s="37"/>
      <c r="IA465" s="37"/>
      <c r="IB465" s="37"/>
      <c r="IC465" s="37"/>
      <c r="ID465" s="37"/>
      <c r="IE465" s="37"/>
      <c r="IF465" s="37"/>
      <c r="IG465" s="37"/>
      <c r="IH465" s="37"/>
      <c r="II465" s="37"/>
      <c r="IJ465" s="37"/>
    </row>
    <row r="466" spans="1:244" s="81" customFormat="1" ht="13" x14ac:dyDescent="0.25">
      <c r="A466" s="54"/>
      <c r="B466" s="96"/>
      <c r="C466" s="41"/>
      <c r="D466" s="41"/>
      <c r="E466" s="45"/>
      <c r="F466" s="41"/>
      <c r="G466" s="41"/>
      <c r="H466" s="41"/>
      <c r="I466" s="41"/>
      <c r="J466" s="41"/>
      <c r="K466" s="41"/>
      <c r="L466" s="42"/>
    </row>
    <row r="467" spans="1:244" s="81" customFormat="1" x14ac:dyDescent="0.25">
      <c r="A467" s="54"/>
      <c r="B467" s="44" t="s">
        <v>149</v>
      </c>
      <c r="C467" s="41" t="s">
        <v>14</v>
      </c>
      <c r="D467" s="41">
        <v>1</v>
      </c>
      <c r="E467" s="45">
        <v>1400</v>
      </c>
      <c r="F467" s="41">
        <f>D467*E467</f>
        <v>1400</v>
      </c>
      <c r="G467" s="41" t="s">
        <v>74</v>
      </c>
      <c r="H467" s="41">
        <v>0</v>
      </c>
      <c r="I467" s="41">
        <v>0</v>
      </c>
      <c r="J467" s="41">
        <f>$F467*H467</f>
        <v>0</v>
      </c>
      <c r="K467" s="41">
        <f>$F467*I467</f>
        <v>0</v>
      </c>
      <c r="L467" s="41">
        <f>J467+K467</f>
        <v>0</v>
      </c>
    </row>
    <row r="468" spans="1:244" s="81" customFormat="1" x14ac:dyDescent="0.25">
      <c r="A468" s="54"/>
      <c r="B468" s="40"/>
      <c r="C468" s="41"/>
      <c r="D468" s="41"/>
      <c r="E468" s="45"/>
      <c r="F468" s="41"/>
      <c r="G468" s="41"/>
      <c r="H468" s="41"/>
      <c r="I468" s="41"/>
      <c r="J468" s="41"/>
      <c r="K468" s="41"/>
      <c r="L468" s="42"/>
    </row>
    <row r="469" spans="1:244" s="81" customFormat="1" x14ac:dyDescent="0.25">
      <c r="A469" s="54"/>
      <c r="B469" s="40" t="s">
        <v>150</v>
      </c>
      <c r="C469" s="41" t="s">
        <v>14</v>
      </c>
      <c r="D469" s="41">
        <v>1</v>
      </c>
      <c r="E469" s="45">
        <v>180</v>
      </c>
      <c r="F469" s="41">
        <f>D469*E469</f>
        <v>180</v>
      </c>
      <c r="G469" s="41" t="s">
        <v>74</v>
      </c>
      <c r="H469" s="41">
        <v>0</v>
      </c>
      <c r="I469" s="41">
        <v>0</v>
      </c>
      <c r="J469" s="41">
        <f>$F469*H469</f>
        <v>0</v>
      </c>
      <c r="K469" s="41">
        <f>$F469*I469</f>
        <v>0</v>
      </c>
      <c r="L469" s="41">
        <f>J469+K469</f>
        <v>0</v>
      </c>
    </row>
    <row r="470" spans="1:244" x14ac:dyDescent="0.25">
      <c r="A470" s="54"/>
      <c r="B470" s="40"/>
      <c r="C470" s="41"/>
      <c r="D470" s="41"/>
      <c r="E470" s="45"/>
      <c r="F470" s="41"/>
      <c r="G470" s="41"/>
      <c r="H470" s="41"/>
      <c r="I470" s="41"/>
      <c r="J470" s="41"/>
      <c r="K470" s="41"/>
      <c r="L470" s="42"/>
      <c r="M470" s="81"/>
      <c r="N470" s="81"/>
      <c r="O470" s="81"/>
      <c r="P470" s="81"/>
      <c r="Q470" s="81"/>
      <c r="R470" s="81"/>
      <c r="S470" s="81"/>
      <c r="T470" s="81"/>
      <c r="U470" s="81"/>
      <c r="V470" s="81"/>
      <c r="W470" s="81"/>
      <c r="X470" s="81"/>
      <c r="Y470" s="81"/>
      <c r="Z470" s="81"/>
      <c r="AA470" s="81"/>
      <c r="AB470" s="81"/>
      <c r="AC470" s="81"/>
      <c r="AD470" s="81"/>
      <c r="AE470" s="81"/>
      <c r="AF470" s="81"/>
      <c r="AG470" s="81"/>
      <c r="AH470" s="81"/>
      <c r="AI470" s="81"/>
      <c r="AJ470" s="81"/>
      <c r="AK470" s="81"/>
      <c r="AL470" s="81"/>
      <c r="AM470" s="81"/>
      <c r="AN470" s="81"/>
      <c r="AO470" s="81"/>
      <c r="AP470" s="81"/>
      <c r="AQ470" s="81"/>
      <c r="AR470" s="81"/>
      <c r="AS470" s="81"/>
      <c r="AT470" s="81"/>
      <c r="AU470" s="81"/>
      <c r="AV470" s="81"/>
      <c r="AW470" s="81"/>
      <c r="AX470" s="81"/>
      <c r="AY470" s="81"/>
      <c r="AZ470" s="81"/>
      <c r="BA470" s="81"/>
      <c r="BB470" s="81"/>
      <c r="BC470" s="81"/>
      <c r="BD470" s="81"/>
      <c r="BE470" s="81"/>
      <c r="BF470" s="81"/>
      <c r="BG470" s="81"/>
      <c r="BH470" s="81"/>
      <c r="BI470" s="81"/>
      <c r="BJ470" s="81"/>
      <c r="BK470" s="81"/>
      <c r="BL470" s="81"/>
      <c r="BM470" s="81"/>
      <c r="BN470" s="81"/>
      <c r="BO470" s="81"/>
      <c r="BP470" s="81"/>
      <c r="BQ470" s="81"/>
      <c r="BR470" s="81"/>
      <c r="BS470" s="81"/>
      <c r="BT470" s="81"/>
      <c r="BU470" s="81"/>
      <c r="BV470" s="81"/>
      <c r="BW470" s="81"/>
      <c r="BX470" s="81"/>
      <c r="BY470" s="81"/>
      <c r="BZ470" s="81"/>
      <c r="CA470" s="81"/>
      <c r="CB470" s="81"/>
      <c r="CC470" s="81"/>
      <c r="CD470" s="81"/>
      <c r="CE470" s="81"/>
      <c r="CF470" s="81"/>
      <c r="CG470" s="81"/>
      <c r="CH470" s="81"/>
      <c r="CI470" s="81"/>
      <c r="CJ470" s="81"/>
      <c r="CK470" s="81"/>
      <c r="CL470" s="81"/>
      <c r="CM470" s="81"/>
      <c r="CN470" s="81"/>
      <c r="CO470" s="81"/>
      <c r="CP470" s="81"/>
      <c r="CQ470" s="81"/>
      <c r="CR470" s="81"/>
      <c r="CS470" s="81"/>
      <c r="CT470" s="81"/>
      <c r="CU470" s="81"/>
      <c r="CV470" s="81"/>
      <c r="CW470" s="81"/>
      <c r="CX470" s="81"/>
      <c r="CY470" s="81"/>
      <c r="CZ470" s="81"/>
      <c r="DA470" s="81"/>
      <c r="DB470" s="81"/>
      <c r="DC470" s="81"/>
      <c r="DD470" s="81"/>
      <c r="DE470" s="81"/>
      <c r="DF470" s="81"/>
      <c r="DG470" s="81"/>
      <c r="DH470" s="81"/>
      <c r="DI470" s="81"/>
      <c r="DJ470" s="81"/>
      <c r="DK470" s="81"/>
      <c r="DL470" s="81"/>
      <c r="DM470" s="81"/>
      <c r="DN470" s="81"/>
      <c r="DO470" s="81"/>
      <c r="DP470" s="81"/>
      <c r="DQ470" s="81"/>
      <c r="DR470" s="81"/>
      <c r="DS470" s="81"/>
      <c r="DT470" s="81"/>
      <c r="DU470" s="81"/>
      <c r="DV470" s="81"/>
      <c r="DW470" s="81"/>
      <c r="DX470" s="81"/>
      <c r="DY470" s="81"/>
      <c r="DZ470" s="81"/>
      <c r="EA470" s="81"/>
      <c r="EB470" s="81"/>
      <c r="EC470" s="81"/>
      <c r="ED470" s="81"/>
      <c r="EE470" s="81"/>
      <c r="EF470" s="81"/>
      <c r="EG470" s="81"/>
      <c r="EH470" s="81"/>
      <c r="EI470" s="81"/>
      <c r="EJ470" s="81"/>
      <c r="EK470" s="81"/>
      <c r="EL470" s="81"/>
      <c r="EM470" s="81"/>
      <c r="EN470" s="81"/>
      <c r="EO470" s="81"/>
      <c r="EP470" s="81"/>
      <c r="EQ470" s="81"/>
      <c r="ER470" s="81"/>
      <c r="ES470" s="81"/>
      <c r="ET470" s="81"/>
      <c r="EU470" s="81"/>
      <c r="EV470" s="81"/>
      <c r="EW470" s="81"/>
      <c r="EX470" s="81"/>
      <c r="EY470" s="81"/>
      <c r="EZ470" s="81"/>
      <c r="FA470" s="81"/>
      <c r="FB470" s="81"/>
      <c r="FC470" s="81"/>
      <c r="FD470" s="81"/>
      <c r="FE470" s="81"/>
      <c r="FF470" s="81"/>
      <c r="FG470" s="81"/>
      <c r="FH470" s="81"/>
      <c r="FI470" s="81"/>
      <c r="FJ470" s="81"/>
      <c r="FK470" s="81"/>
      <c r="FL470" s="81"/>
      <c r="FM470" s="81"/>
      <c r="FN470" s="81"/>
      <c r="FO470" s="81"/>
      <c r="FP470" s="81"/>
      <c r="FQ470" s="81"/>
      <c r="FR470" s="81"/>
      <c r="FS470" s="81"/>
      <c r="FT470" s="81"/>
      <c r="FU470" s="81"/>
      <c r="FV470" s="81"/>
      <c r="FW470" s="81"/>
      <c r="FX470" s="81"/>
      <c r="FY470" s="81"/>
      <c r="FZ470" s="81"/>
      <c r="GA470" s="81"/>
      <c r="GB470" s="81"/>
      <c r="GC470" s="81"/>
      <c r="GD470" s="81"/>
      <c r="GE470" s="81"/>
      <c r="GF470" s="81"/>
      <c r="GG470" s="81"/>
      <c r="GH470" s="81"/>
      <c r="GI470" s="81"/>
      <c r="GJ470" s="81"/>
      <c r="GK470" s="81"/>
      <c r="GL470" s="81"/>
      <c r="GM470" s="81"/>
      <c r="GN470" s="81"/>
      <c r="GO470" s="81"/>
      <c r="GP470" s="81"/>
      <c r="GQ470" s="81"/>
      <c r="GR470" s="81"/>
      <c r="GS470" s="81"/>
      <c r="GT470" s="81"/>
      <c r="GU470" s="81"/>
      <c r="GV470" s="81"/>
      <c r="GW470" s="81"/>
      <c r="GX470" s="81"/>
      <c r="GY470" s="81"/>
      <c r="GZ470" s="81"/>
      <c r="HA470" s="81"/>
      <c r="HB470" s="81"/>
      <c r="HC470" s="81"/>
      <c r="HD470" s="81"/>
      <c r="HE470" s="81"/>
      <c r="HF470" s="81"/>
      <c r="HG470" s="81"/>
      <c r="HH470" s="81"/>
      <c r="HI470" s="81"/>
      <c r="HJ470" s="81"/>
      <c r="HK470" s="81"/>
      <c r="HL470" s="81"/>
      <c r="HM470" s="81"/>
      <c r="HN470" s="81"/>
      <c r="HO470" s="81"/>
      <c r="HP470" s="81"/>
      <c r="HQ470" s="81"/>
      <c r="HR470" s="81"/>
      <c r="HS470" s="81"/>
      <c r="HT470" s="81"/>
      <c r="HU470" s="81"/>
      <c r="HV470" s="81"/>
      <c r="HW470" s="81"/>
      <c r="HX470" s="81"/>
      <c r="HY470" s="81"/>
      <c r="HZ470" s="81"/>
      <c r="IA470" s="81"/>
      <c r="IB470" s="81"/>
      <c r="IC470" s="81"/>
      <c r="ID470" s="81"/>
      <c r="IE470" s="81"/>
      <c r="IF470" s="81"/>
      <c r="IG470" s="81"/>
      <c r="IH470" s="81"/>
      <c r="II470" s="81"/>
      <c r="IJ470" s="81"/>
    </row>
    <row r="471" spans="1:244" ht="14.5" x14ac:dyDescent="0.25">
      <c r="A471" s="18"/>
      <c r="B471" s="9" t="s">
        <v>146</v>
      </c>
      <c r="C471" s="12" t="s">
        <v>76</v>
      </c>
      <c r="D471" s="26"/>
      <c r="E471" s="12">
        <v>0.15</v>
      </c>
      <c r="F471" s="12">
        <f>D471*E471</f>
        <v>0</v>
      </c>
      <c r="G471" s="12" t="s">
        <v>77</v>
      </c>
      <c r="H471" s="11">
        <v>0</v>
      </c>
      <c r="I471" s="11">
        <v>0</v>
      </c>
      <c r="J471" s="11">
        <f>$F471*H471</f>
        <v>0</v>
      </c>
      <c r="K471" s="11">
        <f>$D471*I471</f>
        <v>0</v>
      </c>
      <c r="L471" s="11">
        <f>J471+K471</f>
        <v>0</v>
      </c>
    </row>
    <row r="472" spans="1:244" ht="25" x14ac:dyDescent="0.25">
      <c r="A472" s="18"/>
      <c r="B472" s="6" t="s">
        <v>145</v>
      </c>
      <c r="C472" s="12" t="s">
        <v>76</v>
      </c>
      <c r="D472" s="26"/>
      <c r="E472" s="12">
        <v>0.15</v>
      </c>
      <c r="F472" s="12">
        <f>D472*E472</f>
        <v>0</v>
      </c>
      <c r="G472" s="12" t="s">
        <v>77</v>
      </c>
      <c r="H472" s="11">
        <v>0</v>
      </c>
      <c r="I472" s="11">
        <v>0</v>
      </c>
      <c r="J472" s="11">
        <f>$F472*H472</f>
        <v>0</v>
      </c>
      <c r="K472" s="11">
        <f>$D472*I472</f>
        <v>0</v>
      </c>
      <c r="L472" s="11">
        <f>J472+K472</f>
        <v>0</v>
      </c>
    </row>
    <row r="473" spans="1:244" x14ac:dyDescent="0.25">
      <c r="A473" s="18"/>
      <c r="B473" s="9" t="s">
        <v>79</v>
      </c>
      <c r="C473" s="12" t="s">
        <v>71</v>
      </c>
      <c r="D473" s="12">
        <f>24</f>
        <v>24</v>
      </c>
      <c r="E473" s="12"/>
      <c r="F473" s="12"/>
      <c r="G473" s="12" t="s">
        <v>71</v>
      </c>
      <c r="H473" s="11">
        <v>0</v>
      </c>
      <c r="I473" s="11">
        <v>0</v>
      </c>
      <c r="J473" s="11"/>
      <c r="K473" s="11">
        <f>$D473*I473</f>
        <v>0</v>
      </c>
      <c r="L473" s="11">
        <f>J473+K473</f>
        <v>0</v>
      </c>
    </row>
    <row r="474" spans="1:244" x14ac:dyDescent="0.25">
      <c r="A474" s="18"/>
      <c r="B474" s="9" t="s">
        <v>80</v>
      </c>
      <c r="C474" s="12"/>
      <c r="D474" s="12"/>
      <c r="E474" s="12"/>
      <c r="F474" s="12"/>
      <c r="G474" s="12"/>
      <c r="H474" s="11"/>
      <c r="I474" s="11"/>
      <c r="J474" s="11"/>
      <c r="K474" s="11"/>
      <c r="L474" s="11"/>
    </row>
    <row r="475" spans="1:244" x14ac:dyDescent="0.25">
      <c r="A475" s="18"/>
      <c r="B475" s="9" t="s">
        <v>81</v>
      </c>
      <c r="C475" s="12" t="s">
        <v>71</v>
      </c>
      <c r="D475" s="12">
        <f>48</f>
        <v>48</v>
      </c>
      <c r="E475" s="12"/>
      <c r="F475" s="12"/>
      <c r="G475" s="12" t="s">
        <v>71</v>
      </c>
      <c r="H475" s="11">
        <v>0</v>
      </c>
      <c r="I475" s="11">
        <v>0</v>
      </c>
      <c r="J475" s="11"/>
      <c r="K475" s="11">
        <f>$D475*I475</f>
        <v>0</v>
      </c>
      <c r="L475" s="11">
        <f>J475+K475</f>
        <v>0</v>
      </c>
    </row>
    <row r="476" spans="1:244" x14ac:dyDescent="0.25">
      <c r="A476" s="18"/>
      <c r="B476" s="9"/>
      <c r="C476" s="12"/>
      <c r="D476" s="12"/>
      <c r="E476" s="12"/>
      <c r="F476" s="12"/>
      <c r="G476" s="12"/>
      <c r="H476" s="11"/>
      <c r="I476" s="11"/>
      <c r="J476" s="11"/>
      <c r="K476" s="11"/>
      <c r="L476" s="11"/>
    </row>
    <row r="477" spans="1:244" ht="13" x14ac:dyDescent="0.25">
      <c r="A477" s="70"/>
      <c r="B477" s="71" t="s">
        <v>82</v>
      </c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  <c r="AC477" s="43"/>
      <c r="AD477" s="43"/>
      <c r="AE477" s="43"/>
      <c r="AF477" s="43"/>
      <c r="AG477" s="43"/>
      <c r="AH477" s="43"/>
      <c r="AI477" s="43"/>
      <c r="AJ477" s="43"/>
      <c r="AK477" s="43"/>
      <c r="AL477" s="43"/>
      <c r="AM477" s="43"/>
      <c r="AN477" s="43"/>
      <c r="AO477" s="43"/>
      <c r="AP477" s="43"/>
      <c r="AQ477" s="43"/>
      <c r="AR477" s="43"/>
      <c r="AS477" s="43"/>
      <c r="AT477" s="43"/>
      <c r="AU477" s="43"/>
      <c r="AV477" s="43"/>
      <c r="AW477" s="43"/>
      <c r="AX477" s="43"/>
      <c r="AY477" s="43"/>
      <c r="AZ477" s="43"/>
      <c r="BA477" s="43"/>
      <c r="BB477" s="43"/>
      <c r="BC477" s="43"/>
      <c r="BD477" s="43"/>
      <c r="BE477" s="43"/>
      <c r="BF477" s="43"/>
      <c r="BG477" s="43"/>
      <c r="BH477" s="43"/>
      <c r="BI477" s="43"/>
      <c r="BJ477" s="43"/>
      <c r="BK477" s="43"/>
      <c r="BL477" s="43"/>
      <c r="BM477" s="43"/>
      <c r="BN477" s="43"/>
      <c r="BO477" s="43"/>
      <c r="BP477" s="43"/>
      <c r="BQ477" s="43"/>
      <c r="BR477" s="43"/>
      <c r="BS477" s="43"/>
      <c r="BT477" s="43"/>
      <c r="BU477" s="43"/>
      <c r="BV477" s="43"/>
      <c r="BW477" s="43"/>
      <c r="BX477" s="43"/>
      <c r="BY477" s="43"/>
      <c r="BZ477" s="43"/>
      <c r="CA477" s="43"/>
      <c r="CB477" s="43"/>
      <c r="CC477" s="43"/>
      <c r="CD477" s="43"/>
      <c r="CE477" s="43"/>
      <c r="CF477" s="43"/>
      <c r="CG477" s="43"/>
      <c r="CH477" s="43"/>
      <c r="CI477" s="43"/>
      <c r="CJ477" s="43"/>
      <c r="CK477" s="43"/>
      <c r="CL477" s="43"/>
      <c r="CM477" s="43"/>
      <c r="CN477" s="43"/>
      <c r="CO477" s="43"/>
      <c r="CP477" s="43"/>
      <c r="CQ477" s="43"/>
      <c r="CR477" s="43"/>
      <c r="CS477" s="43"/>
      <c r="CT477" s="43"/>
      <c r="CU477" s="43"/>
      <c r="CV477" s="43"/>
      <c r="CW477" s="43"/>
      <c r="CX477" s="43"/>
      <c r="CY477" s="43"/>
      <c r="CZ477" s="43"/>
      <c r="DA477" s="43"/>
      <c r="DB477" s="43"/>
      <c r="DC477" s="43"/>
      <c r="DD477" s="43"/>
      <c r="DE477" s="43"/>
      <c r="DF477" s="43"/>
      <c r="DG477" s="43"/>
      <c r="DH477" s="43"/>
      <c r="DI477" s="43"/>
      <c r="DJ477" s="43"/>
      <c r="DK477" s="43"/>
      <c r="DL477" s="43"/>
      <c r="DM477" s="43"/>
      <c r="DN477" s="43"/>
      <c r="DO477" s="43"/>
      <c r="DP477" s="43"/>
      <c r="DQ477" s="43"/>
      <c r="DR477" s="43"/>
      <c r="DS477" s="43"/>
      <c r="DT477" s="43"/>
      <c r="DU477" s="43"/>
      <c r="DV477" s="43"/>
      <c r="DW477" s="43"/>
      <c r="DX477" s="43"/>
      <c r="DY477" s="43"/>
      <c r="DZ477" s="43"/>
      <c r="EA477" s="43"/>
      <c r="EB477" s="43"/>
      <c r="EC477" s="43"/>
      <c r="ED477" s="43"/>
      <c r="EE477" s="43"/>
      <c r="EF477" s="43"/>
      <c r="EG477" s="43"/>
      <c r="EH477" s="43"/>
      <c r="EI477" s="43"/>
      <c r="EJ477" s="43"/>
      <c r="EK477" s="43"/>
      <c r="EL477" s="43"/>
      <c r="EM477" s="43"/>
      <c r="EN477" s="43"/>
      <c r="EO477" s="43"/>
      <c r="EP477" s="43"/>
      <c r="EQ477" s="43"/>
      <c r="ER477" s="43"/>
      <c r="ES477" s="43"/>
      <c r="ET477" s="43"/>
      <c r="EU477" s="43"/>
      <c r="EV477" s="43"/>
      <c r="EW477" s="43"/>
      <c r="EX477" s="43"/>
      <c r="EY477" s="43"/>
      <c r="EZ477" s="43"/>
      <c r="FA477" s="43"/>
      <c r="FB477" s="43"/>
      <c r="FC477" s="43"/>
      <c r="FD477" s="43"/>
      <c r="FE477" s="43"/>
      <c r="FF477" s="43"/>
      <c r="FG477" s="43"/>
      <c r="FH477" s="43"/>
      <c r="FI477" s="43"/>
      <c r="FJ477" s="43"/>
      <c r="FK477" s="43"/>
      <c r="FL477" s="43"/>
      <c r="FM477" s="43"/>
      <c r="FN477" s="43"/>
      <c r="FO477" s="43"/>
      <c r="FP477" s="43"/>
      <c r="FQ477" s="43"/>
      <c r="FR477" s="43"/>
      <c r="FS477" s="43"/>
      <c r="FT477" s="43"/>
      <c r="FU477" s="43"/>
      <c r="FV477" s="43"/>
      <c r="FW477" s="43"/>
      <c r="FX477" s="43"/>
      <c r="FY477" s="43"/>
      <c r="FZ477" s="43"/>
      <c r="GA477" s="43"/>
      <c r="GB477" s="43"/>
      <c r="GC477" s="43"/>
      <c r="GD477" s="43"/>
      <c r="GE477" s="43"/>
      <c r="GF477" s="43"/>
      <c r="GG477" s="43"/>
      <c r="GH477" s="43"/>
      <c r="GI477" s="43"/>
      <c r="GJ477" s="43"/>
      <c r="GK477" s="43"/>
      <c r="GL477" s="43"/>
      <c r="GM477" s="43"/>
      <c r="GN477" s="43"/>
      <c r="GO477" s="43"/>
      <c r="GP477" s="43"/>
      <c r="GQ477" s="43"/>
      <c r="GR477" s="43"/>
      <c r="GS477" s="43"/>
      <c r="GT477" s="43"/>
      <c r="GU477" s="43"/>
      <c r="GV477" s="43"/>
      <c r="GW477" s="43"/>
      <c r="GX477" s="43"/>
      <c r="GY477" s="43"/>
      <c r="GZ477" s="43"/>
      <c r="HA477" s="43"/>
      <c r="HB477" s="43"/>
      <c r="HC477" s="43"/>
      <c r="HD477" s="43"/>
      <c r="HE477" s="43"/>
      <c r="HF477" s="43"/>
      <c r="HG477" s="43"/>
      <c r="HH477" s="43"/>
      <c r="HI477" s="43"/>
      <c r="HJ477" s="43"/>
      <c r="HK477" s="43"/>
      <c r="HL477" s="43"/>
      <c r="HM477" s="43"/>
      <c r="HN477" s="43"/>
      <c r="HO477" s="43"/>
      <c r="HP477" s="43"/>
      <c r="HQ477" s="43"/>
      <c r="HR477" s="43"/>
      <c r="HS477" s="43"/>
      <c r="HT477" s="43"/>
      <c r="HU477" s="43"/>
      <c r="HV477" s="43"/>
      <c r="HW477" s="43"/>
      <c r="HX477" s="43"/>
      <c r="HY477" s="43"/>
      <c r="HZ477" s="43"/>
      <c r="IA477" s="43"/>
      <c r="IB477" s="43"/>
      <c r="IC477" s="43"/>
      <c r="ID477" s="43"/>
      <c r="IE477" s="43"/>
      <c r="IF477" s="43"/>
      <c r="IG477" s="43"/>
      <c r="IH477" s="43"/>
      <c r="II477" s="43"/>
      <c r="IJ477" s="43"/>
    </row>
    <row r="478" spans="1:244" x14ac:dyDescent="0.25">
      <c r="A478" s="70"/>
      <c r="B478" s="72" t="s">
        <v>148</v>
      </c>
      <c r="C478" s="47" t="s">
        <v>14</v>
      </c>
      <c r="D478" s="47">
        <v>1</v>
      </c>
      <c r="E478" s="47"/>
      <c r="F478" s="47"/>
      <c r="G478" s="47" t="s">
        <v>14</v>
      </c>
      <c r="H478" s="42">
        <v>0</v>
      </c>
      <c r="I478" s="42">
        <v>0</v>
      </c>
      <c r="J478" s="42">
        <f>D478*H478</f>
        <v>0</v>
      </c>
      <c r="K478" s="42"/>
      <c r="L478" s="11">
        <f>J478+K478</f>
        <v>0</v>
      </c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  <c r="AC478" s="43"/>
      <c r="AD478" s="43"/>
      <c r="AE478" s="43"/>
      <c r="AF478" s="43"/>
      <c r="AG478" s="43"/>
      <c r="AH478" s="43"/>
      <c r="AI478" s="43"/>
      <c r="AJ478" s="43"/>
      <c r="AK478" s="43"/>
      <c r="AL478" s="43"/>
      <c r="AM478" s="43"/>
      <c r="AN478" s="43"/>
      <c r="AO478" s="43"/>
      <c r="AP478" s="43"/>
      <c r="AQ478" s="43"/>
      <c r="AR478" s="43"/>
      <c r="AS478" s="43"/>
      <c r="AT478" s="43"/>
      <c r="AU478" s="43"/>
      <c r="AV478" s="43"/>
      <c r="AW478" s="43"/>
      <c r="AX478" s="43"/>
      <c r="AY478" s="43"/>
      <c r="AZ478" s="43"/>
      <c r="BA478" s="43"/>
      <c r="BB478" s="43"/>
      <c r="BC478" s="43"/>
      <c r="BD478" s="43"/>
      <c r="BE478" s="43"/>
      <c r="BF478" s="43"/>
      <c r="BG478" s="43"/>
      <c r="BH478" s="43"/>
      <c r="BI478" s="43"/>
      <c r="BJ478" s="43"/>
      <c r="BK478" s="43"/>
      <c r="BL478" s="43"/>
      <c r="BM478" s="43"/>
      <c r="BN478" s="43"/>
      <c r="BO478" s="43"/>
      <c r="BP478" s="43"/>
      <c r="BQ478" s="43"/>
      <c r="BR478" s="43"/>
      <c r="BS478" s="43"/>
      <c r="BT478" s="43"/>
      <c r="BU478" s="43"/>
      <c r="BV478" s="43"/>
      <c r="BW478" s="43"/>
      <c r="BX478" s="43"/>
      <c r="BY478" s="43"/>
      <c r="BZ478" s="43"/>
      <c r="CA478" s="43"/>
      <c r="CB478" s="43"/>
      <c r="CC478" s="43"/>
      <c r="CD478" s="43"/>
      <c r="CE478" s="43"/>
      <c r="CF478" s="43"/>
      <c r="CG478" s="43"/>
      <c r="CH478" s="43"/>
      <c r="CI478" s="43"/>
      <c r="CJ478" s="43"/>
      <c r="CK478" s="43"/>
      <c r="CL478" s="43"/>
      <c r="CM478" s="43"/>
      <c r="CN478" s="43"/>
      <c r="CO478" s="43"/>
      <c r="CP478" s="43"/>
      <c r="CQ478" s="43"/>
      <c r="CR478" s="43"/>
      <c r="CS478" s="43"/>
      <c r="CT478" s="43"/>
      <c r="CU478" s="43"/>
      <c r="CV478" s="43"/>
      <c r="CW478" s="43"/>
      <c r="CX478" s="43"/>
      <c r="CY478" s="43"/>
      <c r="CZ478" s="43"/>
      <c r="DA478" s="43"/>
      <c r="DB478" s="43"/>
      <c r="DC478" s="43"/>
      <c r="DD478" s="43"/>
      <c r="DE478" s="43"/>
      <c r="DF478" s="43"/>
      <c r="DG478" s="43"/>
      <c r="DH478" s="43"/>
      <c r="DI478" s="43"/>
      <c r="DJ478" s="43"/>
      <c r="DK478" s="43"/>
      <c r="DL478" s="43"/>
      <c r="DM478" s="43"/>
      <c r="DN478" s="43"/>
      <c r="DO478" s="43"/>
      <c r="DP478" s="43"/>
      <c r="DQ478" s="43"/>
      <c r="DR478" s="43"/>
      <c r="DS478" s="43"/>
      <c r="DT478" s="43"/>
      <c r="DU478" s="43"/>
      <c r="DV478" s="43"/>
      <c r="DW478" s="43"/>
      <c r="DX478" s="43"/>
      <c r="DY478" s="43"/>
      <c r="DZ478" s="43"/>
      <c r="EA478" s="43"/>
      <c r="EB478" s="43"/>
      <c r="EC478" s="43"/>
      <c r="ED478" s="43"/>
      <c r="EE478" s="43"/>
      <c r="EF478" s="43"/>
      <c r="EG478" s="43"/>
      <c r="EH478" s="43"/>
      <c r="EI478" s="43"/>
      <c r="EJ478" s="43"/>
      <c r="EK478" s="43"/>
      <c r="EL478" s="43"/>
      <c r="EM478" s="43"/>
      <c r="EN478" s="43"/>
      <c r="EO478" s="43"/>
      <c r="EP478" s="43"/>
      <c r="EQ478" s="43"/>
      <c r="ER478" s="43"/>
      <c r="ES478" s="43"/>
      <c r="ET478" s="43"/>
      <c r="EU478" s="43"/>
      <c r="EV478" s="43"/>
      <c r="EW478" s="43"/>
      <c r="EX478" s="43"/>
      <c r="EY478" s="43"/>
      <c r="EZ478" s="43"/>
      <c r="FA478" s="43"/>
      <c r="FB478" s="43"/>
      <c r="FC478" s="43"/>
      <c r="FD478" s="43"/>
      <c r="FE478" s="43"/>
      <c r="FF478" s="43"/>
      <c r="FG478" s="43"/>
      <c r="FH478" s="43"/>
      <c r="FI478" s="43"/>
      <c r="FJ478" s="43"/>
      <c r="FK478" s="43"/>
      <c r="FL478" s="43"/>
      <c r="FM478" s="43"/>
      <c r="FN478" s="43"/>
      <c r="FO478" s="43"/>
      <c r="FP478" s="43"/>
      <c r="FQ478" s="43"/>
      <c r="FR478" s="43"/>
      <c r="FS478" s="43"/>
      <c r="FT478" s="43"/>
      <c r="FU478" s="43"/>
      <c r="FV478" s="43"/>
      <c r="FW478" s="43"/>
      <c r="FX478" s="43"/>
      <c r="FY478" s="43"/>
      <c r="FZ478" s="43"/>
      <c r="GA478" s="43"/>
      <c r="GB478" s="43"/>
      <c r="GC478" s="43"/>
      <c r="GD478" s="43"/>
      <c r="GE478" s="43"/>
      <c r="GF478" s="43"/>
      <c r="GG478" s="43"/>
      <c r="GH478" s="43"/>
      <c r="GI478" s="43"/>
      <c r="GJ478" s="43"/>
      <c r="GK478" s="43"/>
      <c r="GL478" s="43"/>
      <c r="GM478" s="43"/>
      <c r="GN478" s="43"/>
      <c r="GO478" s="43"/>
      <c r="GP478" s="43"/>
      <c r="GQ478" s="43"/>
      <c r="GR478" s="43"/>
      <c r="GS478" s="43"/>
      <c r="GT478" s="43"/>
      <c r="GU478" s="43"/>
      <c r="GV478" s="43"/>
      <c r="GW478" s="43"/>
      <c r="GX478" s="43"/>
      <c r="GY478" s="43"/>
      <c r="GZ478" s="43"/>
      <c r="HA478" s="43"/>
      <c r="HB478" s="43"/>
      <c r="HC478" s="43"/>
      <c r="HD478" s="43"/>
      <c r="HE478" s="43"/>
      <c r="HF478" s="43"/>
      <c r="HG478" s="43"/>
      <c r="HH478" s="43"/>
      <c r="HI478" s="43"/>
      <c r="HJ478" s="43"/>
      <c r="HK478" s="43"/>
      <c r="HL478" s="43"/>
      <c r="HM478" s="43"/>
      <c r="HN478" s="43"/>
      <c r="HO478" s="43"/>
      <c r="HP478" s="43"/>
      <c r="HQ478" s="43"/>
      <c r="HR478" s="43"/>
      <c r="HS478" s="43"/>
      <c r="HT478" s="43"/>
      <c r="HU478" s="43"/>
      <c r="HV478" s="43"/>
      <c r="HW478" s="43"/>
      <c r="HX478" s="43"/>
      <c r="HY478" s="43"/>
      <c r="HZ478" s="43"/>
      <c r="IA478" s="43"/>
      <c r="IB478" s="43"/>
      <c r="IC478" s="43"/>
      <c r="ID478" s="43"/>
      <c r="IE478" s="43"/>
      <c r="IF478" s="43"/>
      <c r="IG478" s="43"/>
      <c r="IH478" s="43"/>
      <c r="II478" s="43"/>
      <c r="IJ478" s="43"/>
    </row>
    <row r="479" spans="1:244" x14ac:dyDescent="0.25">
      <c r="A479" s="70"/>
      <c r="B479" s="72" t="s">
        <v>84</v>
      </c>
      <c r="C479" s="47" t="s">
        <v>14</v>
      </c>
      <c r="D479" s="47">
        <v>1</v>
      </c>
      <c r="E479" s="47"/>
      <c r="F479" s="47"/>
      <c r="G479" s="47" t="s">
        <v>14</v>
      </c>
      <c r="H479" s="42">
        <v>0</v>
      </c>
      <c r="I479" s="42">
        <v>0</v>
      </c>
      <c r="J479" s="42"/>
      <c r="K479" s="42">
        <f>D479*I479</f>
        <v>0</v>
      </c>
      <c r="L479" s="11">
        <f>J479+K479</f>
        <v>0</v>
      </c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  <c r="AC479" s="43"/>
      <c r="AD479" s="43"/>
      <c r="AE479" s="43"/>
      <c r="AF479" s="43"/>
      <c r="AG479" s="43"/>
      <c r="AH479" s="43"/>
      <c r="AI479" s="43"/>
      <c r="AJ479" s="43"/>
      <c r="AK479" s="43"/>
      <c r="AL479" s="43"/>
      <c r="AM479" s="43"/>
      <c r="AN479" s="43"/>
      <c r="AO479" s="43"/>
      <c r="AP479" s="43"/>
      <c r="AQ479" s="43"/>
      <c r="AR479" s="43"/>
      <c r="AS479" s="43"/>
      <c r="AT479" s="43"/>
      <c r="AU479" s="43"/>
      <c r="AV479" s="43"/>
      <c r="AW479" s="43"/>
      <c r="AX479" s="43"/>
      <c r="AY479" s="43"/>
      <c r="AZ479" s="43"/>
      <c r="BA479" s="43"/>
      <c r="BB479" s="43"/>
      <c r="BC479" s="43"/>
      <c r="BD479" s="43"/>
      <c r="BE479" s="43"/>
      <c r="BF479" s="43"/>
      <c r="BG479" s="43"/>
      <c r="BH479" s="43"/>
      <c r="BI479" s="43"/>
      <c r="BJ479" s="43"/>
      <c r="BK479" s="43"/>
      <c r="BL479" s="43"/>
      <c r="BM479" s="43"/>
      <c r="BN479" s="43"/>
      <c r="BO479" s="43"/>
      <c r="BP479" s="43"/>
      <c r="BQ479" s="43"/>
      <c r="BR479" s="43"/>
      <c r="BS479" s="43"/>
      <c r="BT479" s="43"/>
      <c r="BU479" s="43"/>
      <c r="BV479" s="43"/>
      <c r="BW479" s="43"/>
      <c r="BX479" s="43"/>
      <c r="BY479" s="43"/>
      <c r="BZ479" s="43"/>
      <c r="CA479" s="43"/>
      <c r="CB479" s="43"/>
      <c r="CC479" s="43"/>
      <c r="CD479" s="43"/>
      <c r="CE479" s="43"/>
      <c r="CF479" s="43"/>
      <c r="CG479" s="43"/>
      <c r="CH479" s="43"/>
      <c r="CI479" s="43"/>
      <c r="CJ479" s="43"/>
      <c r="CK479" s="43"/>
      <c r="CL479" s="43"/>
      <c r="CM479" s="43"/>
      <c r="CN479" s="43"/>
      <c r="CO479" s="43"/>
      <c r="CP479" s="43"/>
      <c r="CQ479" s="43"/>
      <c r="CR479" s="43"/>
      <c r="CS479" s="43"/>
      <c r="CT479" s="43"/>
      <c r="CU479" s="43"/>
      <c r="CV479" s="43"/>
      <c r="CW479" s="43"/>
      <c r="CX479" s="43"/>
      <c r="CY479" s="43"/>
      <c r="CZ479" s="43"/>
      <c r="DA479" s="43"/>
      <c r="DB479" s="43"/>
      <c r="DC479" s="43"/>
      <c r="DD479" s="43"/>
      <c r="DE479" s="43"/>
      <c r="DF479" s="43"/>
      <c r="DG479" s="43"/>
      <c r="DH479" s="43"/>
      <c r="DI479" s="43"/>
      <c r="DJ479" s="43"/>
      <c r="DK479" s="43"/>
      <c r="DL479" s="43"/>
      <c r="DM479" s="43"/>
      <c r="DN479" s="43"/>
      <c r="DO479" s="43"/>
      <c r="DP479" s="43"/>
      <c r="DQ479" s="43"/>
      <c r="DR479" s="43"/>
      <c r="DS479" s="43"/>
      <c r="DT479" s="43"/>
      <c r="DU479" s="43"/>
      <c r="DV479" s="43"/>
      <c r="DW479" s="43"/>
      <c r="DX479" s="43"/>
      <c r="DY479" s="43"/>
      <c r="DZ479" s="43"/>
      <c r="EA479" s="43"/>
      <c r="EB479" s="43"/>
      <c r="EC479" s="43"/>
      <c r="ED479" s="43"/>
      <c r="EE479" s="43"/>
      <c r="EF479" s="43"/>
      <c r="EG479" s="43"/>
      <c r="EH479" s="43"/>
      <c r="EI479" s="43"/>
      <c r="EJ479" s="43"/>
      <c r="EK479" s="43"/>
      <c r="EL479" s="43"/>
      <c r="EM479" s="43"/>
      <c r="EN479" s="43"/>
      <c r="EO479" s="43"/>
      <c r="EP479" s="43"/>
      <c r="EQ479" s="43"/>
      <c r="ER479" s="43"/>
      <c r="ES479" s="43"/>
      <c r="ET479" s="43"/>
      <c r="EU479" s="43"/>
      <c r="EV479" s="43"/>
      <c r="EW479" s="43"/>
      <c r="EX479" s="43"/>
      <c r="EY479" s="43"/>
      <c r="EZ479" s="43"/>
      <c r="FA479" s="43"/>
      <c r="FB479" s="43"/>
      <c r="FC479" s="43"/>
      <c r="FD479" s="43"/>
      <c r="FE479" s="43"/>
      <c r="FF479" s="43"/>
      <c r="FG479" s="43"/>
      <c r="FH479" s="43"/>
      <c r="FI479" s="43"/>
      <c r="FJ479" s="43"/>
      <c r="FK479" s="43"/>
      <c r="FL479" s="43"/>
      <c r="FM479" s="43"/>
      <c r="FN479" s="43"/>
      <c r="FO479" s="43"/>
      <c r="FP479" s="43"/>
      <c r="FQ479" s="43"/>
      <c r="FR479" s="43"/>
      <c r="FS479" s="43"/>
      <c r="FT479" s="43"/>
      <c r="FU479" s="43"/>
      <c r="FV479" s="43"/>
      <c r="FW479" s="43"/>
      <c r="FX479" s="43"/>
      <c r="FY479" s="43"/>
      <c r="FZ479" s="43"/>
      <c r="GA479" s="43"/>
      <c r="GB479" s="43"/>
      <c r="GC479" s="43"/>
      <c r="GD479" s="43"/>
      <c r="GE479" s="43"/>
      <c r="GF479" s="43"/>
      <c r="GG479" s="43"/>
      <c r="GH479" s="43"/>
      <c r="GI479" s="43"/>
      <c r="GJ479" s="43"/>
      <c r="GK479" s="43"/>
      <c r="GL479" s="43"/>
      <c r="GM479" s="43"/>
      <c r="GN479" s="43"/>
      <c r="GO479" s="43"/>
      <c r="GP479" s="43"/>
      <c r="GQ479" s="43"/>
      <c r="GR479" s="43"/>
      <c r="GS479" s="43"/>
      <c r="GT479" s="43"/>
      <c r="GU479" s="43"/>
      <c r="GV479" s="43"/>
      <c r="GW479" s="43"/>
      <c r="GX479" s="43"/>
      <c r="GY479" s="43"/>
      <c r="GZ479" s="43"/>
      <c r="HA479" s="43"/>
      <c r="HB479" s="43"/>
      <c r="HC479" s="43"/>
      <c r="HD479" s="43"/>
      <c r="HE479" s="43"/>
      <c r="HF479" s="43"/>
      <c r="HG479" s="43"/>
      <c r="HH479" s="43"/>
      <c r="HI479" s="43"/>
      <c r="HJ479" s="43"/>
      <c r="HK479" s="43"/>
      <c r="HL479" s="43"/>
      <c r="HM479" s="43"/>
      <c r="HN479" s="43"/>
      <c r="HO479" s="43"/>
      <c r="HP479" s="43"/>
      <c r="HQ479" s="43"/>
      <c r="HR479" s="43"/>
      <c r="HS479" s="43"/>
      <c r="HT479" s="43"/>
      <c r="HU479" s="43"/>
      <c r="HV479" s="43"/>
      <c r="HW479" s="43"/>
      <c r="HX479" s="43"/>
      <c r="HY479" s="43"/>
      <c r="HZ479" s="43"/>
      <c r="IA479" s="43"/>
      <c r="IB479" s="43"/>
      <c r="IC479" s="43"/>
      <c r="ID479" s="43"/>
      <c r="IE479" s="43"/>
      <c r="IF479" s="43"/>
      <c r="IG479" s="43"/>
      <c r="IH479" s="43"/>
      <c r="II479" s="43"/>
      <c r="IJ479" s="43"/>
    </row>
    <row r="480" spans="1:244" x14ac:dyDescent="0.25">
      <c r="A480" s="54"/>
      <c r="B480" s="40"/>
      <c r="C480" s="41"/>
      <c r="D480" s="41" t="s">
        <v>86</v>
      </c>
      <c r="E480" s="45"/>
      <c r="F480" s="41"/>
      <c r="G480" s="45" t="s">
        <v>87</v>
      </c>
      <c r="H480" s="41"/>
      <c r="I480" s="41"/>
      <c r="J480" s="41"/>
      <c r="K480" s="41"/>
      <c r="L480" s="41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  <c r="AC480" s="43"/>
      <c r="AD480" s="43"/>
      <c r="AE480" s="43"/>
      <c r="AF480" s="43"/>
      <c r="AG480" s="43"/>
      <c r="AH480" s="43"/>
      <c r="AI480" s="43"/>
      <c r="AJ480" s="43"/>
      <c r="AK480" s="43"/>
      <c r="AL480" s="43"/>
      <c r="AM480" s="43"/>
      <c r="AN480" s="43"/>
      <c r="AO480" s="43"/>
      <c r="AP480" s="43"/>
      <c r="AQ480" s="43"/>
      <c r="AR480" s="43"/>
      <c r="AS480" s="43"/>
      <c r="AT480" s="43"/>
      <c r="AU480" s="43"/>
      <c r="AV480" s="43"/>
      <c r="AW480" s="43"/>
      <c r="AX480" s="43"/>
      <c r="AY480" s="43"/>
      <c r="AZ480" s="43"/>
      <c r="BA480" s="43"/>
      <c r="BB480" s="43"/>
      <c r="BC480" s="43"/>
      <c r="BD480" s="43"/>
      <c r="BE480" s="43"/>
      <c r="BF480" s="43"/>
      <c r="BG480" s="43"/>
      <c r="BH480" s="43"/>
      <c r="BI480" s="43"/>
      <c r="BJ480" s="43"/>
      <c r="BK480" s="43"/>
      <c r="BL480" s="43"/>
      <c r="BM480" s="43"/>
      <c r="BN480" s="43"/>
      <c r="BO480" s="43"/>
      <c r="BP480" s="43"/>
      <c r="BQ480" s="43"/>
      <c r="BR480" s="43"/>
      <c r="BS480" s="43"/>
      <c r="BT480" s="43"/>
      <c r="BU480" s="43"/>
      <c r="BV480" s="43"/>
      <c r="BW480" s="43"/>
      <c r="BX480" s="43"/>
      <c r="BY480" s="43"/>
      <c r="BZ480" s="43"/>
      <c r="CA480" s="43"/>
      <c r="CB480" s="43"/>
      <c r="CC480" s="43"/>
      <c r="CD480" s="43"/>
      <c r="CE480" s="43"/>
      <c r="CF480" s="43"/>
      <c r="CG480" s="43"/>
      <c r="CH480" s="43"/>
      <c r="CI480" s="43"/>
      <c r="CJ480" s="43"/>
      <c r="CK480" s="43"/>
      <c r="CL480" s="43"/>
      <c r="CM480" s="43"/>
      <c r="CN480" s="43"/>
      <c r="CO480" s="43"/>
      <c r="CP480" s="43"/>
      <c r="CQ480" s="43"/>
      <c r="CR480" s="43"/>
      <c r="CS480" s="43"/>
      <c r="CT480" s="43"/>
      <c r="CU480" s="43"/>
      <c r="CV480" s="43"/>
      <c r="CW480" s="43"/>
      <c r="CX480" s="43"/>
      <c r="CY480" s="43"/>
      <c r="CZ480" s="43"/>
      <c r="DA480" s="43"/>
      <c r="DB480" s="43"/>
      <c r="DC480" s="43"/>
      <c r="DD480" s="43"/>
      <c r="DE480" s="43"/>
      <c r="DF480" s="43"/>
      <c r="DG480" s="43"/>
      <c r="DH480" s="43"/>
      <c r="DI480" s="43"/>
      <c r="DJ480" s="43"/>
      <c r="DK480" s="43"/>
      <c r="DL480" s="43"/>
      <c r="DM480" s="43"/>
      <c r="DN480" s="43"/>
      <c r="DO480" s="43"/>
      <c r="DP480" s="43"/>
      <c r="DQ480" s="43"/>
      <c r="DR480" s="43"/>
      <c r="DS480" s="43"/>
      <c r="DT480" s="43"/>
      <c r="DU480" s="43"/>
      <c r="DV480" s="43"/>
      <c r="DW480" s="43"/>
      <c r="DX480" s="43"/>
      <c r="DY480" s="43"/>
      <c r="DZ480" s="43"/>
      <c r="EA480" s="43"/>
      <c r="EB480" s="43"/>
      <c r="EC480" s="43"/>
      <c r="ED480" s="43"/>
      <c r="EE480" s="43"/>
      <c r="EF480" s="43"/>
      <c r="EG480" s="43"/>
      <c r="EH480" s="43"/>
      <c r="EI480" s="43"/>
      <c r="EJ480" s="43"/>
      <c r="EK480" s="43"/>
      <c r="EL480" s="43"/>
      <c r="EM480" s="43"/>
      <c r="EN480" s="43"/>
      <c r="EO480" s="43"/>
      <c r="EP480" s="43"/>
      <c r="EQ480" s="43"/>
      <c r="ER480" s="43"/>
      <c r="ES480" s="43"/>
      <c r="ET480" s="43"/>
      <c r="EU480" s="43"/>
      <c r="EV480" s="43"/>
      <c r="EW480" s="43"/>
      <c r="EX480" s="43"/>
      <c r="EY480" s="43"/>
      <c r="EZ480" s="43"/>
      <c r="FA480" s="43"/>
      <c r="FB480" s="43"/>
      <c r="FC480" s="43"/>
      <c r="FD480" s="43"/>
      <c r="FE480" s="43"/>
      <c r="FF480" s="43"/>
      <c r="FG480" s="43"/>
      <c r="FH480" s="43"/>
      <c r="FI480" s="43"/>
      <c r="FJ480" s="43"/>
      <c r="FK480" s="43"/>
      <c r="FL480" s="43"/>
      <c r="FM480" s="43"/>
      <c r="FN480" s="43"/>
      <c r="FO480" s="43"/>
      <c r="FP480" s="43"/>
      <c r="FQ480" s="43"/>
      <c r="FR480" s="43"/>
      <c r="FS480" s="43"/>
      <c r="FT480" s="43"/>
      <c r="FU480" s="43"/>
      <c r="FV480" s="43"/>
      <c r="FW480" s="43"/>
      <c r="FX480" s="43"/>
      <c r="FY480" s="43"/>
      <c r="FZ480" s="43"/>
      <c r="GA480" s="43"/>
      <c r="GB480" s="43"/>
      <c r="GC480" s="43"/>
      <c r="GD480" s="43"/>
      <c r="GE480" s="43"/>
      <c r="GF480" s="43"/>
      <c r="GG480" s="43"/>
      <c r="GH480" s="43"/>
      <c r="GI480" s="43"/>
      <c r="GJ480" s="43"/>
      <c r="GK480" s="43"/>
      <c r="GL480" s="43"/>
      <c r="GM480" s="43"/>
      <c r="GN480" s="43"/>
      <c r="GO480" s="43"/>
      <c r="GP480" s="43"/>
      <c r="GQ480" s="43"/>
      <c r="GR480" s="43"/>
      <c r="GS480" s="43"/>
      <c r="GT480" s="43"/>
      <c r="GU480" s="43"/>
      <c r="GV480" s="43"/>
      <c r="GW480" s="43"/>
      <c r="GX480" s="43"/>
      <c r="GY480" s="43"/>
      <c r="GZ480" s="43"/>
      <c r="HA480" s="43"/>
      <c r="HB480" s="43"/>
      <c r="HC480" s="43"/>
      <c r="HD480" s="43"/>
      <c r="HE480" s="43"/>
      <c r="HF480" s="43"/>
      <c r="HG480" s="43"/>
      <c r="HH480" s="43"/>
      <c r="HI480" s="43"/>
      <c r="HJ480" s="43"/>
      <c r="HK480" s="43"/>
      <c r="HL480" s="43"/>
      <c r="HM480" s="43"/>
      <c r="HN480" s="43"/>
      <c r="HO480" s="43"/>
      <c r="HP480" s="43"/>
      <c r="HQ480" s="43"/>
      <c r="HR480" s="43"/>
      <c r="HS480" s="43"/>
      <c r="HT480" s="43"/>
      <c r="HU480" s="43"/>
      <c r="HV480" s="43"/>
      <c r="HW480" s="43"/>
      <c r="HX480" s="43"/>
      <c r="HY480" s="43"/>
      <c r="HZ480" s="43"/>
      <c r="IA480" s="43"/>
      <c r="IB480" s="43"/>
      <c r="IC480" s="43"/>
      <c r="ID480" s="43"/>
      <c r="IE480" s="43"/>
      <c r="IF480" s="43"/>
      <c r="IG480" s="43"/>
      <c r="IH480" s="43"/>
      <c r="II480" s="43"/>
      <c r="IJ480" s="43"/>
    </row>
    <row r="481" spans="1:244" x14ac:dyDescent="0.25">
      <c r="A481" s="18"/>
      <c r="B481" s="27" t="s">
        <v>19</v>
      </c>
      <c r="C481" s="26" t="s">
        <v>20</v>
      </c>
      <c r="D481" s="77">
        <v>0.01</v>
      </c>
      <c r="F481" s="26"/>
      <c r="G481" s="26">
        <f>SUM(H4:H5)</f>
        <v>0</v>
      </c>
      <c r="H481" s="26">
        <v>0</v>
      </c>
      <c r="I481" s="26">
        <v>0</v>
      </c>
      <c r="J481" s="26">
        <f>ROUND(H481,0)</f>
        <v>0</v>
      </c>
      <c r="K481" s="26"/>
      <c r="L481" s="26">
        <f>J481+K481</f>
        <v>0</v>
      </c>
    </row>
    <row r="482" spans="1:244" x14ac:dyDescent="0.25">
      <c r="A482" s="18"/>
      <c r="B482" s="27" t="s">
        <v>21</v>
      </c>
      <c r="C482" s="26" t="s">
        <v>22</v>
      </c>
      <c r="D482" s="26">
        <f>SUM(F4:F5)/100</f>
        <v>449.2</v>
      </c>
      <c r="F482" s="78"/>
      <c r="G482" s="26">
        <f>SUM(I3:I4)</f>
        <v>0</v>
      </c>
      <c r="H482" s="26">
        <v>0</v>
      </c>
      <c r="I482" s="26">
        <v>0</v>
      </c>
      <c r="J482" s="26"/>
      <c r="K482" s="26">
        <f>ROUND(I482,0)</f>
        <v>0</v>
      </c>
      <c r="L482" s="26">
        <f>J482+K482</f>
        <v>0</v>
      </c>
    </row>
    <row r="483" spans="1:244" x14ac:dyDescent="0.25">
      <c r="A483" s="18"/>
      <c r="B483" s="27" t="s">
        <v>23</v>
      </c>
      <c r="C483" s="26" t="s">
        <v>20</v>
      </c>
      <c r="D483" s="77">
        <v>0.01</v>
      </c>
      <c r="F483" s="28"/>
      <c r="G483" s="26">
        <f>SUM(I4:I5)</f>
        <v>0</v>
      </c>
      <c r="H483" s="26">
        <v>0</v>
      </c>
      <c r="I483" s="26">
        <v>0</v>
      </c>
      <c r="J483" s="26"/>
      <c r="K483" s="26">
        <f>ROUND(I483,0)</f>
        <v>0</v>
      </c>
      <c r="L483" s="26">
        <f>J483+K483</f>
        <v>0</v>
      </c>
    </row>
    <row r="484" spans="1:244" x14ac:dyDescent="0.25">
      <c r="A484" s="18"/>
      <c r="B484" s="27" t="s">
        <v>24</v>
      </c>
      <c r="C484" s="26" t="s">
        <v>20</v>
      </c>
      <c r="D484" s="77">
        <v>1.6E-2</v>
      </c>
      <c r="F484" s="28"/>
      <c r="G484" s="26">
        <f>G483</f>
        <v>0</v>
      </c>
      <c r="H484" s="26">
        <v>0</v>
      </c>
      <c r="I484" s="26">
        <v>0</v>
      </c>
      <c r="J484" s="26"/>
      <c r="K484" s="26">
        <f>ROUND(I484,0)</f>
        <v>0</v>
      </c>
      <c r="L484" s="26">
        <f>J484+K484</f>
        <v>0</v>
      </c>
    </row>
    <row r="485" spans="1:244" x14ac:dyDescent="0.25">
      <c r="A485" s="18"/>
      <c r="B485" s="27" t="s">
        <v>26</v>
      </c>
      <c r="C485" s="26" t="s">
        <v>20</v>
      </c>
      <c r="D485" s="77">
        <v>0.05</v>
      </c>
      <c r="F485" s="25"/>
      <c r="G485" s="26">
        <f>G484</f>
        <v>0</v>
      </c>
      <c r="H485" s="26">
        <v>0</v>
      </c>
      <c r="I485" s="26">
        <v>0</v>
      </c>
      <c r="J485" s="26"/>
      <c r="K485" s="26">
        <f>ROUND(I485,0)</f>
        <v>0</v>
      </c>
      <c r="L485" s="26">
        <f>J485+K485</f>
        <v>0</v>
      </c>
    </row>
    <row r="486" spans="1:244" x14ac:dyDescent="0.25">
      <c r="A486" s="18"/>
      <c r="B486" s="44"/>
      <c r="C486" s="42"/>
      <c r="D486" s="47"/>
      <c r="E486" s="47"/>
      <c r="F486" s="42"/>
      <c r="G486" s="42"/>
      <c r="H486" s="41"/>
      <c r="I486" s="41"/>
      <c r="J486" s="42"/>
      <c r="K486" s="42"/>
      <c r="L486" s="41"/>
    </row>
    <row r="487" spans="1:244" ht="14" x14ac:dyDescent="0.25">
      <c r="A487" s="48"/>
      <c r="B487" s="49" t="s">
        <v>57</v>
      </c>
      <c r="C487" s="50"/>
      <c r="D487" s="51"/>
      <c r="E487" s="50"/>
      <c r="F487" s="65">
        <f>CEILING(SUM(F465:F485),10)</f>
        <v>1580</v>
      </c>
      <c r="G487" s="50"/>
      <c r="H487" s="50"/>
      <c r="I487" s="50"/>
      <c r="J487" s="50">
        <f>CEILING(SUM(J465:J486),100)</f>
        <v>0</v>
      </c>
      <c r="K487" s="50">
        <f>CEILING(SUM(K465:K486),100)</f>
        <v>0</v>
      </c>
      <c r="L487" s="80">
        <f>J487+K487</f>
        <v>0</v>
      </c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  <c r="CI487" s="10"/>
      <c r="CJ487" s="10"/>
      <c r="CK487" s="10"/>
      <c r="CL487" s="10"/>
      <c r="CM487" s="10"/>
      <c r="CN487" s="10"/>
      <c r="CO487" s="10"/>
      <c r="CP487" s="10"/>
      <c r="CQ487" s="10"/>
      <c r="CR487" s="10"/>
      <c r="CS487" s="10"/>
      <c r="CT487" s="10"/>
      <c r="CU487" s="10"/>
      <c r="CV487" s="10"/>
      <c r="CW487" s="10"/>
      <c r="CX487" s="10"/>
      <c r="CY487" s="10"/>
      <c r="CZ487" s="10"/>
      <c r="DA487" s="10"/>
      <c r="DB487" s="10"/>
      <c r="DC487" s="10"/>
      <c r="DD487" s="10"/>
      <c r="DE487" s="10"/>
      <c r="DF487" s="10"/>
      <c r="DG487" s="10"/>
      <c r="DH487" s="10"/>
      <c r="DI487" s="10"/>
      <c r="DJ487" s="10"/>
      <c r="DK487" s="10"/>
      <c r="DL487" s="10"/>
      <c r="DM487" s="10"/>
      <c r="DN487" s="10"/>
      <c r="DO487" s="10"/>
      <c r="DP487" s="10"/>
      <c r="DQ487" s="10"/>
      <c r="DR487" s="10"/>
      <c r="DS487" s="10"/>
      <c r="DT487" s="10"/>
      <c r="DU487" s="10"/>
      <c r="DV487" s="10"/>
      <c r="DW487" s="10"/>
      <c r="DX487" s="10"/>
      <c r="DY487" s="10"/>
      <c r="DZ487" s="10"/>
      <c r="EA487" s="10"/>
      <c r="EB487" s="10"/>
      <c r="EC487" s="10"/>
      <c r="ED487" s="10"/>
      <c r="EE487" s="10"/>
      <c r="EF487" s="10"/>
      <c r="EG487" s="10"/>
      <c r="EH487" s="10"/>
      <c r="EI487" s="10"/>
      <c r="EJ487" s="10"/>
      <c r="EK487" s="10"/>
      <c r="EL487" s="10"/>
      <c r="EM487" s="10"/>
      <c r="EN487" s="10"/>
      <c r="EO487" s="10"/>
      <c r="EP487" s="10"/>
      <c r="EQ487" s="10"/>
      <c r="ER487" s="10"/>
      <c r="ES487" s="10"/>
      <c r="ET487" s="10"/>
      <c r="EU487" s="10"/>
      <c r="EV487" s="10"/>
      <c r="EW487" s="10"/>
      <c r="EX487" s="10"/>
      <c r="EY487" s="10"/>
      <c r="EZ487" s="10"/>
      <c r="FA487" s="10"/>
      <c r="FB487" s="10"/>
      <c r="FC487" s="10"/>
      <c r="FD487" s="10"/>
      <c r="FE487" s="10"/>
      <c r="FF487" s="10"/>
      <c r="FG487" s="10"/>
      <c r="FH487" s="10"/>
      <c r="FI487" s="10"/>
      <c r="FJ487" s="10"/>
      <c r="FK487" s="10"/>
      <c r="FL487" s="10"/>
      <c r="FM487" s="10"/>
      <c r="FN487" s="10"/>
      <c r="FO487" s="10"/>
      <c r="FP487" s="10"/>
      <c r="FQ487" s="10"/>
      <c r="FR487" s="10"/>
      <c r="FS487" s="10"/>
      <c r="FT487" s="10"/>
      <c r="FU487" s="10"/>
      <c r="FV487" s="10"/>
      <c r="FW487" s="10"/>
      <c r="FX487" s="10"/>
      <c r="FY487" s="10"/>
      <c r="FZ487" s="10"/>
      <c r="GA487" s="10"/>
      <c r="GB487" s="10"/>
      <c r="GC487" s="10"/>
      <c r="GD487" s="10"/>
      <c r="GE487" s="10"/>
      <c r="GF487" s="10"/>
      <c r="GG487" s="10"/>
      <c r="GH487" s="10"/>
      <c r="GI487" s="10"/>
      <c r="GJ487" s="10"/>
      <c r="GK487" s="10"/>
      <c r="GL487" s="10"/>
      <c r="GM487" s="10"/>
      <c r="GN487" s="10"/>
      <c r="GO487" s="10"/>
      <c r="GP487" s="10"/>
      <c r="GQ487" s="10"/>
      <c r="GR487" s="10"/>
      <c r="GS487" s="10"/>
      <c r="GT487" s="10"/>
      <c r="GU487" s="10"/>
      <c r="GV487" s="10"/>
      <c r="GW487" s="10"/>
      <c r="GX487" s="10"/>
      <c r="GY487" s="10"/>
      <c r="GZ487" s="10"/>
      <c r="HA487" s="10"/>
      <c r="HB487" s="10"/>
      <c r="HC487" s="10"/>
      <c r="HD487" s="10"/>
      <c r="HE487" s="10"/>
      <c r="HF487" s="10"/>
      <c r="HG487" s="10"/>
      <c r="HH487" s="10"/>
      <c r="HI487" s="10"/>
      <c r="HJ487" s="10"/>
      <c r="HK487" s="10"/>
      <c r="HL487" s="10"/>
      <c r="HM487" s="10"/>
      <c r="HN487" s="10"/>
      <c r="HO487" s="10"/>
      <c r="HP487" s="10"/>
      <c r="HQ487" s="10"/>
      <c r="HR487" s="10"/>
      <c r="HS487" s="10"/>
      <c r="HT487" s="10"/>
      <c r="HU487" s="10"/>
      <c r="HV487" s="10"/>
      <c r="HW487" s="10"/>
      <c r="HX487" s="10"/>
      <c r="HY487" s="10"/>
      <c r="HZ487" s="10"/>
      <c r="IA487" s="10"/>
      <c r="IB487" s="10"/>
      <c r="IC487" s="10"/>
      <c r="ID487" s="10"/>
      <c r="IE487" s="10"/>
      <c r="IF487" s="10"/>
      <c r="IG487" s="10"/>
      <c r="IH487" s="10"/>
      <c r="II487" s="10"/>
      <c r="IJ487" s="10"/>
    </row>
    <row r="488" spans="1:244" x14ac:dyDescent="0.25">
      <c r="A488" s="18"/>
      <c r="B488" s="9"/>
      <c r="C488" s="12"/>
      <c r="D488" s="12"/>
      <c r="E488" s="12"/>
      <c r="F488" s="12"/>
      <c r="G488" s="12"/>
      <c r="H488" s="11"/>
      <c r="I488" s="11"/>
      <c r="J488" s="11"/>
      <c r="K488" s="11"/>
      <c r="L488" s="11"/>
    </row>
    <row r="489" spans="1:244" ht="15.5" x14ac:dyDescent="0.25">
      <c r="A489" s="102">
        <f>A7</f>
        <v>0</v>
      </c>
      <c r="B489" s="36">
        <f>B7</f>
        <v>0</v>
      </c>
      <c r="C489" s="68"/>
      <c r="D489" s="68"/>
      <c r="E489" s="68"/>
      <c r="F489" s="68"/>
      <c r="G489" s="68"/>
      <c r="H489" s="69"/>
      <c r="I489" s="69"/>
      <c r="J489" s="69"/>
      <c r="K489" s="69"/>
      <c r="L489" s="69"/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  <c r="AA489" s="68"/>
      <c r="AB489" s="68"/>
      <c r="AC489" s="68"/>
      <c r="AD489" s="68"/>
      <c r="AE489" s="68"/>
      <c r="AF489" s="68"/>
      <c r="AG489" s="68"/>
      <c r="AH489" s="68"/>
      <c r="AI489" s="68"/>
      <c r="AJ489" s="68"/>
      <c r="AK489" s="68"/>
      <c r="AL489" s="68"/>
      <c r="AM489" s="68"/>
      <c r="AN489" s="68"/>
      <c r="AO489" s="68"/>
      <c r="AP489" s="68"/>
      <c r="AQ489" s="68"/>
      <c r="AR489" s="68"/>
      <c r="AS489" s="68"/>
      <c r="AT489" s="68"/>
      <c r="AU489" s="68"/>
      <c r="AV489" s="68"/>
      <c r="AW489" s="68"/>
      <c r="AX489" s="68"/>
      <c r="AY489" s="68"/>
      <c r="AZ489" s="68"/>
      <c r="BA489" s="68"/>
      <c r="BB489" s="68"/>
      <c r="BC489" s="68"/>
      <c r="BD489" s="68"/>
      <c r="BE489" s="68"/>
      <c r="BF489" s="68"/>
      <c r="BG489" s="68"/>
      <c r="BH489" s="68"/>
      <c r="BI489" s="68"/>
      <c r="BJ489" s="68"/>
      <c r="BK489" s="68"/>
      <c r="BL489" s="68"/>
      <c r="BM489" s="68"/>
      <c r="BN489" s="68"/>
      <c r="BO489" s="68"/>
      <c r="BP489" s="68"/>
      <c r="BQ489" s="68"/>
      <c r="BR489" s="68"/>
      <c r="BS489" s="68"/>
      <c r="BT489" s="68"/>
      <c r="BU489" s="68"/>
      <c r="BV489" s="68"/>
      <c r="BW489" s="68"/>
      <c r="BX489" s="68"/>
      <c r="BY489" s="68"/>
      <c r="BZ489" s="68"/>
      <c r="CA489" s="68"/>
      <c r="CB489" s="68"/>
      <c r="CC489" s="68"/>
      <c r="CD489" s="68"/>
      <c r="CE489" s="68"/>
      <c r="CF489" s="68"/>
      <c r="CG489" s="68"/>
      <c r="CH489" s="68"/>
      <c r="CI489" s="68"/>
      <c r="CJ489" s="68"/>
      <c r="CK489" s="68"/>
      <c r="CL489" s="68"/>
      <c r="CM489" s="68"/>
      <c r="CN489" s="68"/>
      <c r="CO489" s="68"/>
      <c r="CP489" s="68"/>
      <c r="CQ489" s="68"/>
      <c r="CR489" s="68"/>
      <c r="CS489" s="68"/>
      <c r="CT489" s="68"/>
      <c r="CU489" s="68"/>
      <c r="CV489" s="68"/>
      <c r="CW489" s="68"/>
      <c r="CX489" s="68"/>
      <c r="CY489" s="68"/>
      <c r="CZ489" s="68"/>
      <c r="DA489" s="68"/>
      <c r="DB489" s="68"/>
      <c r="DC489" s="68"/>
      <c r="DD489" s="68"/>
      <c r="DE489" s="68"/>
      <c r="DF489" s="68"/>
      <c r="DG489" s="68"/>
      <c r="DH489" s="68"/>
      <c r="DI489" s="68"/>
      <c r="DJ489" s="68"/>
      <c r="DK489" s="68"/>
      <c r="DL489" s="68"/>
      <c r="DM489" s="68"/>
      <c r="DN489" s="68"/>
      <c r="DO489" s="68"/>
      <c r="DP489" s="68"/>
      <c r="DQ489" s="68"/>
      <c r="DR489" s="68"/>
      <c r="DS489" s="68"/>
      <c r="DT489" s="68"/>
      <c r="DU489" s="68"/>
      <c r="DV489" s="68"/>
      <c r="DW489" s="68"/>
      <c r="DX489" s="68"/>
      <c r="DY489" s="68"/>
      <c r="DZ489" s="68"/>
      <c r="EA489" s="68"/>
      <c r="EB489" s="68"/>
      <c r="EC489" s="68"/>
      <c r="ED489" s="68"/>
      <c r="EE489" s="68"/>
      <c r="EF489" s="68"/>
      <c r="EG489" s="68"/>
      <c r="EH489" s="68"/>
      <c r="EI489" s="68"/>
      <c r="EJ489" s="68"/>
      <c r="EK489" s="68"/>
      <c r="EL489" s="68"/>
      <c r="EM489" s="68"/>
      <c r="EN489" s="68"/>
      <c r="EO489" s="68"/>
      <c r="EP489" s="68"/>
      <c r="EQ489" s="68"/>
      <c r="ER489" s="68"/>
      <c r="ES489" s="68"/>
      <c r="ET489" s="68"/>
      <c r="EU489" s="68"/>
      <c r="EV489" s="68"/>
      <c r="EW489" s="68"/>
      <c r="EX489" s="68"/>
      <c r="EY489" s="68"/>
      <c r="EZ489" s="68"/>
      <c r="FA489" s="68"/>
      <c r="FB489" s="68"/>
      <c r="FC489" s="68"/>
      <c r="FD489" s="68"/>
      <c r="FE489" s="68"/>
      <c r="FF489" s="68"/>
      <c r="FG489" s="68"/>
      <c r="FH489" s="68"/>
      <c r="FI489" s="68"/>
      <c r="FJ489" s="68"/>
      <c r="FK489" s="68"/>
      <c r="FL489" s="68"/>
      <c r="FM489" s="68"/>
      <c r="FN489" s="68"/>
      <c r="FO489" s="68"/>
      <c r="FP489" s="68"/>
      <c r="FQ489" s="68"/>
      <c r="FR489" s="68"/>
      <c r="FS489" s="68"/>
      <c r="FT489" s="68"/>
      <c r="FU489" s="68"/>
      <c r="FV489" s="68"/>
      <c r="FW489" s="68"/>
      <c r="FX489" s="68"/>
      <c r="FY489" s="68"/>
      <c r="FZ489" s="68"/>
      <c r="GA489" s="68"/>
      <c r="GB489" s="68"/>
      <c r="GC489" s="68"/>
      <c r="GD489" s="68"/>
      <c r="GE489" s="68"/>
      <c r="GF489" s="68"/>
      <c r="GG489" s="68"/>
      <c r="GH489" s="68"/>
      <c r="GI489" s="68"/>
      <c r="GJ489" s="68"/>
      <c r="GK489" s="68"/>
      <c r="GL489" s="68"/>
      <c r="GM489" s="68"/>
      <c r="GN489" s="68"/>
      <c r="GO489" s="68"/>
      <c r="GP489" s="68"/>
      <c r="GQ489" s="68"/>
      <c r="GR489" s="68"/>
      <c r="GS489" s="68"/>
      <c r="GT489" s="68"/>
      <c r="GU489" s="68"/>
      <c r="GV489" s="68"/>
      <c r="GW489" s="68"/>
      <c r="GX489" s="68"/>
      <c r="GY489" s="68"/>
      <c r="GZ489" s="68"/>
      <c r="HA489" s="68"/>
      <c r="HB489" s="68"/>
      <c r="HC489" s="68"/>
      <c r="HD489" s="68"/>
      <c r="HE489" s="68"/>
      <c r="HF489" s="68"/>
      <c r="HG489" s="68"/>
      <c r="HH489" s="68"/>
      <c r="HI489" s="68"/>
      <c r="HJ489" s="68"/>
      <c r="HK489" s="68"/>
      <c r="HL489" s="68"/>
      <c r="HM489" s="68"/>
      <c r="HN489" s="68"/>
      <c r="HO489" s="68"/>
      <c r="HP489" s="68"/>
      <c r="HQ489" s="68"/>
      <c r="HR489" s="68"/>
      <c r="HS489" s="68"/>
      <c r="HT489" s="68"/>
      <c r="HU489" s="68"/>
      <c r="HV489" s="68"/>
      <c r="HW489" s="68"/>
      <c r="HX489" s="68"/>
      <c r="HY489" s="68"/>
      <c r="HZ489" s="68"/>
      <c r="IA489" s="68"/>
      <c r="IB489" s="68"/>
      <c r="IC489" s="68"/>
      <c r="ID489" s="68"/>
      <c r="IE489" s="68"/>
      <c r="IF489" s="68"/>
      <c r="IG489" s="68"/>
      <c r="IH489" s="68"/>
      <c r="II489" s="68"/>
      <c r="IJ489" s="68"/>
    </row>
    <row r="490" spans="1:244" ht="15.5" x14ac:dyDescent="0.25">
      <c r="A490" s="35"/>
      <c r="B490" s="36"/>
      <c r="C490" s="68"/>
      <c r="D490" s="68"/>
      <c r="E490" s="68"/>
      <c r="F490" s="68"/>
      <c r="G490" s="68"/>
      <c r="H490" s="69"/>
      <c r="I490" s="69"/>
      <c r="J490" s="69"/>
      <c r="K490" s="69"/>
      <c r="L490" s="69"/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  <c r="AA490" s="68"/>
      <c r="AB490" s="68"/>
      <c r="AC490" s="68"/>
      <c r="AD490" s="68"/>
      <c r="AE490" s="68"/>
      <c r="AF490" s="68"/>
      <c r="AG490" s="68"/>
      <c r="AH490" s="68"/>
      <c r="AI490" s="68"/>
      <c r="AJ490" s="68"/>
      <c r="AK490" s="68"/>
      <c r="AL490" s="68"/>
      <c r="AM490" s="68"/>
      <c r="AN490" s="68"/>
      <c r="AO490" s="68"/>
      <c r="AP490" s="68"/>
      <c r="AQ490" s="68"/>
      <c r="AR490" s="68"/>
      <c r="AS490" s="68"/>
      <c r="AT490" s="68"/>
      <c r="AU490" s="68"/>
      <c r="AV490" s="68"/>
      <c r="AW490" s="68"/>
      <c r="AX490" s="68"/>
      <c r="AY490" s="68"/>
      <c r="AZ490" s="68"/>
      <c r="BA490" s="68"/>
      <c r="BB490" s="68"/>
      <c r="BC490" s="68"/>
      <c r="BD490" s="68"/>
      <c r="BE490" s="68"/>
      <c r="BF490" s="68"/>
      <c r="BG490" s="68"/>
      <c r="BH490" s="68"/>
      <c r="BI490" s="68"/>
      <c r="BJ490" s="68"/>
      <c r="BK490" s="68"/>
      <c r="BL490" s="68"/>
      <c r="BM490" s="68"/>
      <c r="BN490" s="68"/>
      <c r="BO490" s="68"/>
      <c r="BP490" s="68"/>
      <c r="BQ490" s="68"/>
      <c r="BR490" s="68"/>
      <c r="BS490" s="68"/>
      <c r="BT490" s="68"/>
      <c r="BU490" s="68"/>
      <c r="BV490" s="68"/>
      <c r="BW490" s="68"/>
      <c r="BX490" s="68"/>
      <c r="BY490" s="68"/>
      <c r="BZ490" s="68"/>
      <c r="CA490" s="68"/>
      <c r="CB490" s="68"/>
      <c r="CC490" s="68"/>
      <c r="CD490" s="68"/>
      <c r="CE490" s="68"/>
      <c r="CF490" s="68"/>
      <c r="CG490" s="68"/>
      <c r="CH490" s="68"/>
      <c r="CI490" s="68"/>
      <c r="CJ490" s="68"/>
      <c r="CK490" s="68"/>
      <c r="CL490" s="68"/>
      <c r="CM490" s="68"/>
      <c r="CN490" s="68"/>
      <c r="CO490" s="68"/>
      <c r="CP490" s="68"/>
      <c r="CQ490" s="68"/>
      <c r="CR490" s="68"/>
      <c r="CS490" s="68"/>
      <c r="CT490" s="68"/>
      <c r="CU490" s="68"/>
      <c r="CV490" s="68"/>
      <c r="CW490" s="68"/>
      <c r="CX490" s="68"/>
      <c r="CY490" s="68"/>
      <c r="CZ490" s="68"/>
      <c r="DA490" s="68"/>
      <c r="DB490" s="68"/>
      <c r="DC490" s="68"/>
      <c r="DD490" s="68"/>
      <c r="DE490" s="68"/>
      <c r="DF490" s="68"/>
      <c r="DG490" s="68"/>
      <c r="DH490" s="68"/>
      <c r="DI490" s="68"/>
      <c r="DJ490" s="68"/>
      <c r="DK490" s="68"/>
      <c r="DL490" s="68"/>
      <c r="DM490" s="68"/>
      <c r="DN490" s="68"/>
      <c r="DO490" s="68"/>
      <c r="DP490" s="68"/>
      <c r="DQ490" s="68"/>
      <c r="DR490" s="68"/>
      <c r="DS490" s="68"/>
      <c r="DT490" s="68"/>
      <c r="DU490" s="68"/>
      <c r="DV490" s="68"/>
      <c r="DW490" s="68"/>
      <c r="DX490" s="68"/>
      <c r="DY490" s="68"/>
      <c r="DZ490" s="68"/>
      <c r="EA490" s="68"/>
      <c r="EB490" s="68"/>
      <c r="EC490" s="68"/>
      <c r="ED490" s="68"/>
      <c r="EE490" s="68"/>
      <c r="EF490" s="68"/>
      <c r="EG490" s="68"/>
      <c r="EH490" s="68"/>
      <c r="EI490" s="68"/>
      <c r="EJ490" s="68"/>
      <c r="EK490" s="68"/>
      <c r="EL490" s="68"/>
      <c r="EM490" s="68"/>
      <c r="EN490" s="68"/>
      <c r="EO490" s="68"/>
      <c r="EP490" s="68"/>
      <c r="EQ490" s="68"/>
      <c r="ER490" s="68"/>
      <c r="ES490" s="68"/>
      <c r="ET490" s="68"/>
      <c r="EU490" s="68"/>
      <c r="EV490" s="68"/>
      <c r="EW490" s="68"/>
      <c r="EX490" s="68"/>
      <c r="EY490" s="68"/>
      <c r="EZ490" s="68"/>
      <c r="FA490" s="68"/>
      <c r="FB490" s="68"/>
      <c r="FC490" s="68"/>
      <c r="FD490" s="68"/>
      <c r="FE490" s="68"/>
      <c r="FF490" s="68"/>
      <c r="FG490" s="68"/>
      <c r="FH490" s="68"/>
      <c r="FI490" s="68"/>
      <c r="FJ490" s="68"/>
      <c r="FK490" s="68"/>
      <c r="FL490" s="68"/>
      <c r="FM490" s="68"/>
      <c r="FN490" s="68"/>
      <c r="FO490" s="68"/>
      <c r="FP490" s="68"/>
      <c r="FQ490" s="68"/>
      <c r="FR490" s="68"/>
      <c r="FS490" s="68"/>
      <c r="FT490" s="68"/>
      <c r="FU490" s="68"/>
      <c r="FV490" s="68"/>
      <c r="FW490" s="68"/>
      <c r="FX490" s="68"/>
      <c r="FY490" s="68"/>
      <c r="FZ490" s="68"/>
      <c r="GA490" s="68"/>
      <c r="GB490" s="68"/>
      <c r="GC490" s="68"/>
      <c r="GD490" s="68"/>
      <c r="GE490" s="68"/>
      <c r="GF490" s="68"/>
      <c r="GG490" s="68"/>
      <c r="GH490" s="68"/>
      <c r="GI490" s="68"/>
      <c r="GJ490" s="68"/>
      <c r="GK490" s="68"/>
      <c r="GL490" s="68"/>
      <c r="GM490" s="68"/>
      <c r="GN490" s="68"/>
      <c r="GO490" s="68"/>
      <c r="GP490" s="68"/>
      <c r="GQ490" s="68"/>
      <c r="GR490" s="68"/>
      <c r="GS490" s="68"/>
      <c r="GT490" s="68"/>
      <c r="GU490" s="68"/>
      <c r="GV490" s="68"/>
      <c r="GW490" s="68"/>
      <c r="GX490" s="68"/>
      <c r="GY490" s="68"/>
      <c r="GZ490" s="68"/>
      <c r="HA490" s="68"/>
      <c r="HB490" s="68"/>
      <c r="HC490" s="68"/>
      <c r="HD490" s="68"/>
      <c r="HE490" s="68"/>
      <c r="HF490" s="68"/>
      <c r="HG490" s="68"/>
      <c r="HH490" s="68"/>
      <c r="HI490" s="68"/>
      <c r="HJ490" s="68"/>
      <c r="HK490" s="68"/>
      <c r="HL490" s="68"/>
      <c r="HM490" s="68"/>
      <c r="HN490" s="68"/>
      <c r="HO490" s="68"/>
      <c r="HP490" s="68"/>
      <c r="HQ490" s="68"/>
      <c r="HR490" s="68"/>
      <c r="HS490" s="68"/>
      <c r="HT490" s="68"/>
      <c r="HU490" s="68"/>
      <c r="HV490" s="68"/>
      <c r="HW490" s="68"/>
      <c r="HX490" s="68"/>
      <c r="HY490" s="68"/>
      <c r="HZ490" s="68"/>
      <c r="IA490" s="68"/>
      <c r="IB490" s="68"/>
      <c r="IC490" s="68"/>
      <c r="ID490" s="68"/>
      <c r="IE490" s="68"/>
      <c r="IF490" s="68"/>
      <c r="IG490" s="68"/>
      <c r="IH490" s="68"/>
      <c r="II490" s="68"/>
      <c r="IJ490" s="68"/>
    </row>
    <row r="491" spans="1:244" ht="15.5" x14ac:dyDescent="0.25">
      <c r="A491" s="106">
        <f>A8</f>
        <v>0</v>
      </c>
      <c r="B491" s="36">
        <f>B8</f>
        <v>0</v>
      </c>
      <c r="C491" s="68"/>
      <c r="D491" s="68"/>
      <c r="E491" s="68"/>
      <c r="F491" s="68"/>
      <c r="G491" s="68"/>
      <c r="H491" s="69"/>
      <c r="I491" s="69"/>
      <c r="J491" s="69"/>
      <c r="K491" s="69"/>
      <c r="L491" s="69"/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  <c r="AA491" s="68"/>
      <c r="AB491" s="68"/>
      <c r="AC491" s="68"/>
      <c r="AD491" s="68"/>
      <c r="AE491" s="68"/>
      <c r="AF491" s="68"/>
      <c r="AG491" s="68"/>
      <c r="AH491" s="68"/>
      <c r="AI491" s="68"/>
      <c r="AJ491" s="68"/>
      <c r="AK491" s="68"/>
      <c r="AL491" s="68"/>
      <c r="AM491" s="68"/>
      <c r="AN491" s="68"/>
      <c r="AO491" s="68"/>
      <c r="AP491" s="68"/>
      <c r="AQ491" s="68"/>
      <c r="AR491" s="68"/>
      <c r="AS491" s="68"/>
      <c r="AT491" s="68"/>
      <c r="AU491" s="68"/>
      <c r="AV491" s="68"/>
      <c r="AW491" s="68"/>
      <c r="AX491" s="68"/>
      <c r="AY491" s="68"/>
      <c r="AZ491" s="68"/>
      <c r="BA491" s="68"/>
      <c r="BB491" s="68"/>
      <c r="BC491" s="68"/>
      <c r="BD491" s="68"/>
      <c r="BE491" s="68"/>
      <c r="BF491" s="68"/>
      <c r="BG491" s="68"/>
      <c r="BH491" s="68"/>
      <c r="BI491" s="68"/>
      <c r="BJ491" s="68"/>
      <c r="BK491" s="68"/>
      <c r="BL491" s="68"/>
      <c r="BM491" s="68"/>
      <c r="BN491" s="68"/>
      <c r="BO491" s="68"/>
      <c r="BP491" s="68"/>
      <c r="BQ491" s="68"/>
      <c r="BR491" s="68"/>
      <c r="BS491" s="68"/>
      <c r="BT491" s="68"/>
      <c r="BU491" s="68"/>
      <c r="BV491" s="68"/>
      <c r="BW491" s="68"/>
      <c r="BX491" s="68"/>
      <c r="BY491" s="68"/>
      <c r="BZ491" s="68"/>
      <c r="CA491" s="68"/>
      <c r="CB491" s="68"/>
      <c r="CC491" s="68"/>
      <c r="CD491" s="68"/>
      <c r="CE491" s="68"/>
      <c r="CF491" s="68"/>
      <c r="CG491" s="68"/>
      <c r="CH491" s="68"/>
      <c r="CI491" s="68"/>
      <c r="CJ491" s="68"/>
      <c r="CK491" s="68"/>
      <c r="CL491" s="68"/>
      <c r="CM491" s="68"/>
      <c r="CN491" s="68"/>
      <c r="CO491" s="68"/>
      <c r="CP491" s="68"/>
      <c r="CQ491" s="68"/>
      <c r="CR491" s="68"/>
      <c r="CS491" s="68"/>
      <c r="CT491" s="68"/>
      <c r="CU491" s="68"/>
      <c r="CV491" s="68"/>
      <c r="CW491" s="68"/>
      <c r="CX491" s="68"/>
      <c r="CY491" s="68"/>
      <c r="CZ491" s="68"/>
      <c r="DA491" s="68"/>
      <c r="DB491" s="68"/>
      <c r="DC491" s="68"/>
      <c r="DD491" s="68"/>
      <c r="DE491" s="68"/>
      <c r="DF491" s="68"/>
      <c r="DG491" s="68"/>
      <c r="DH491" s="68"/>
      <c r="DI491" s="68"/>
      <c r="DJ491" s="68"/>
      <c r="DK491" s="68"/>
      <c r="DL491" s="68"/>
      <c r="DM491" s="68"/>
      <c r="DN491" s="68"/>
      <c r="DO491" s="68"/>
      <c r="DP491" s="68"/>
      <c r="DQ491" s="68"/>
      <c r="DR491" s="68"/>
      <c r="DS491" s="68"/>
      <c r="DT491" s="68"/>
      <c r="DU491" s="68"/>
      <c r="DV491" s="68"/>
      <c r="DW491" s="68"/>
      <c r="DX491" s="68"/>
      <c r="DY491" s="68"/>
      <c r="DZ491" s="68"/>
      <c r="EA491" s="68"/>
      <c r="EB491" s="68"/>
      <c r="EC491" s="68"/>
      <c r="ED491" s="68"/>
      <c r="EE491" s="68"/>
      <c r="EF491" s="68"/>
      <c r="EG491" s="68"/>
      <c r="EH491" s="68"/>
      <c r="EI491" s="68"/>
      <c r="EJ491" s="68"/>
      <c r="EK491" s="68"/>
      <c r="EL491" s="68"/>
      <c r="EM491" s="68"/>
      <c r="EN491" s="68"/>
      <c r="EO491" s="68"/>
      <c r="EP491" s="68"/>
      <c r="EQ491" s="68"/>
      <c r="ER491" s="68"/>
      <c r="ES491" s="68"/>
      <c r="ET491" s="68"/>
      <c r="EU491" s="68"/>
      <c r="EV491" s="68"/>
      <c r="EW491" s="68"/>
      <c r="EX491" s="68"/>
      <c r="EY491" s="68"/>
      <c r="EZ491" s="68"/>
      <c r="FA491" s="68"/>
      <c r="FB491" s="68"/>
      <c r="FC491" s="68"/>
      <c r="FD491" s="68"/>
      <c r="FE491" s="68"/>
      <c r="FF491" s="68"/>
      <c r="FG491" s="68"/>
      <c r="FH491" s="68"/>
      <c r="FI491" s="68"/>
      <c r="FJ491" s="68"/>
      <c r="FK491" s="68"/>
      <c r="FL491" s="68"/>
      <c r="FM491" s="68"/>
      <c r="FN491" s="68"/>
      <c r="FO491" s="68"/>
      <c r="FP491" s="68"/>
      <c r="FQ491" s="68"/>
      <c r="FR491" s="68"/>
      <c r="FS491" s="68"/>
      <c r="FT491" s="68"/>
      <c r="FU491" s="68"/>
      <c r="FV491" s="68"/>
      <c r="FW491" s="68"/>
      <c r="FX491" s="68"/>
      <c r="FY491" s="68"/>
      <c r="FZ491" s="68"/>
      <c r="GA491" s="68"/>
      <c r="GB491" s="68"/>
      <c r="GC491" s="68"/>
      <c r="GD491" s="68"/>
      <c r="GE491" s="68"/>
      <c r="GF491" s="68"/>
      <c r="GG491" s="68"/>
      <c r="GH491" s="68"/>
      <c r="GI491" s="68"/>
      <c r="GJ491" s="68"/>
      <c r="GK491" s="68"/>
      <c r="GL491" s="68"/>
      <c r="GM491" s="68"/>
      <c r="GN491" s="68"/>
      <c r="GO491" s="68"/>
      <c r="GP491" s="68"/>
      <c r="GQ491" s="68"/>
      <c r="GR491" s="68"/>
      <c r="GS491" s="68"/>
      <c r="GT491" s="68"/>
      <c r="GU491" s="68"/>
      <c r="GV491" s="68"/>
      <c r="GW491" s="68"/>
      <c r="GX491" s="68"/>
      <c r="GY491" s="68"/>
      <c r="GZ491" s="68"/>
      <c r="HA491" s="68"/>
      <c r="HB491" s="68"/>
      <c r="HC491" s="68"/>
      <c r="HD491" s="68"/>
      <c r="HE491" s="68"/>
      <c r="HF491" s="68"/>
      <c r="HG491" s="68"/>
      <c r="HH491" s="68"/>
      <c r="HI491" s="68"/>
      <c r="HJ491" s="68"/>
      <c r="HK491" s="68"/>
      <c r="HL491" s="68"/>
      <c r="HM491" s="68"/>
      <c r="HN491" s="68"/>
      <c r="HO491" s="68"/>
      <c r="HP491" s="68"/>
      <c r="HQ491" s="68"/>
      <c r="HR491" s="68"/>
      <c r="HS491" s="68"/>
      <c r="HT491" s="68"/>
      <c r="HU491" s="68"/>
      <c r="HV491" s="68"/>
      <c r="HW491" s="68"/>
      <c r="HX491" s="68"/>
      <c r="HY491" s="68"/>
      <c r="HZ491" s="68"/>
      <c r="IA491" s="68"/>
      <c r="IB491" s="68"/>
      <c r="IC491" s="68"/>
      <c r="ID491" s="68"/>
      <c r="IE491" s="68"/>
      <c r="IF491" s="68"/>
      <c r="IG491" s="68"/>
      <c r="IH491" s="68"/>
      <c r="II491" s="68"/>
      <c r="IJ491" s="68"/>
    </row>
    <row r="492" spans="1:244" ht="15.5" x14ac:dyDescent="0.25">
      <c r="A492" s="35"/>
      <c r="B492" s="36"/>
      <c r="C492" s="68"/>
      <c r="D492" s="68"/>
      <c r="E492" s="68"/>
      <c r="F492" s="68"/>
      <c r="G492" s="68"/>
      <c r="H492" s="69"/>
      <c r="I492" s="69"/>
      <c r="J492" s="69"/>
      <c r="K492" s="69"/>
      <c r="L492" s="69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  <c r="AA492" s="68"/>
      <c r="AB492" s="68"/>
      <c r="AC492" s="68"/>
      <c r="AD492" s="68"/>
      <c r="AE492" s="68"/>
      <c r="AF492" s="68"/>
      <c r="AG492" s="68"/>
      <c r="AH492" s="68"/>
      <c r="AI492" s="68"/>
      <c r="AJ492" s="68"/>
      <c r="AK492" s="68"/>
      <c r="AL492" s="68"/>
      <c r="AM492" s="68"/>
      <c r="AN492" s="68"/>
      <c r="AO492" s="68"/>
      <c r="AP492" s="68"/>
      <c r="AQ492" s="68"/>
      <c r="AR492" s="68"/>
      <c r="AS492" s="68"/>
      <c r="AT492" s="68"/>
      <c r="AU492" s="68"/>
      <c r="AV492" s="68"/>
      <c r="AW492" s="68"/>
      <c r="AX492" s="68"/>
      <c r="AY492" s="68"/>
      <c r="AZ492" s="68"/>
      <c r="BA492" s="68"/>
      <c r="BB492" s="68"/>
      <c r="BC492" s="68"/>
      <c r="BD492" s="68"/>
      <c r="BE492" s="68"/>
      <c r="BF492" s="68"/>
      <c r="BG492" s="68"/>
      <c r="BH492" s="68"/>
      <c r="BI492" s="68"/>
      <c r="BJ492" s="68"/>
      <c r="BK492" s="68"/>
      <c r="BL492" s="68"/>
      <c r="BM492" s="68"/>
      <c r="BN492" s="68"/>
      <c r="BO492" s="68"/>
      <c r="BP492" s="68"/>
      <c r="BQ492" s="68"/>
      <c r="BR492" s="68"/>
      <c r="BS492" s="68"/>
      <c r="BT492" s="68"/>
      <c r="BU492" s="68"/>
      <c r="BV492" s="68"/>
      <c r="BW492" s="68"/>
      <c r="BX492" s="68"/>
      <c r="BY492" s="68"/>
      <c r="BZ492" s="68"/>
      <c r="CA492" s="68"/>
      <c r="CB492" s="68"/>
      <c r="CC492" s="68"/>
      <c r="CD492" s="68"/>
      <c r="CE492" s="68"/>
      <c r="CF492" s="68"/>
      <c r="CG492" s="68"/>
      <c r="CH492" s="68"/>
      <c r="CI492" s="68"/>
      <c r="CJ492" s="68"/>
      <c r="CK492" s="68"/>
      <c r="CL492" s="68"/>
      <c r="CM492" s="68"/>
      <c r="CN492" s="68"/>
      <c r="CO492" s="68"/>
      <c r="CP492" s="68"/>
      <c r="CQ492" s="68"/>
      <c r="CR492" s="68"/>
      <c r="CS492" s="68"/>
      <c r="CT492" s="68"/>
      <c r="CU492" s="68"/>
      <c r="CV492" s="68"/>
      <c r="CW492" s="68"/>
      <c r="CX492" s="68"/>
      <c r="CY492" s="68"/>
      <c r="CZ492" s="68"/>
      <c r="DA492" s="68"/>
      <c r="DB492" s="68"/>
      <c r="DC492" s="68"/>
      <c r="DD492" s="68"/>
      <c r="DE492" s="68"/>
      <c r="DF492" s="68"/>
      <c r="DG492" s="68"/>
      <c r="DH492" s="68"/>
      <c r="DI492" s="68"/>
      <c r="DJ492" s="68"/>
      <c r="DK492" s="68"/>
      <c r="DL492" s="68"/>
      <c r="DM492" s="68"/>
      <c r="DN492" s="68"/>
      <c r="DO492" s="68"/>
      <c r="DP492" s="68"/>
      <c r="DQ492" s="68"/>
      <c r="DR492" s="68"/>
      <c r="DS492" s="68"/>
      <c r="DT492" s="68"/>
      <c r="DU492" s="68"/>
      <c r="DV492" s="68"/>
      <c r="DW492" s="68"/>
      <c r="DX492" s="68"/>
      <c r="DY492" s="68"/>
      <c r="DZ492" s="68"/>
      <c r="EA492" s="68"/>
      <c r="EB492" s="68"/>
      <c r="EC492" s="68"/>
      <c r="ED492" s="68"/>
      <c r="EE492" s="68"/>
      <c r="EF492" s="68"/>
      <c r="EG492" s="68"/>
      <c r="EH492" s="68"/>
      <c r="EI492" s="68"/>
      <c r="EJ492" s="68"/>
      <c r="EK492" s="68"/>
      <c r="EL492" s="68"/>
      <c r="EM492" s="68"/>
      <c r="EN492" s="68"/>
      <c r="EO492" s="68"/>
      <c r="EP492" s="68"/>
      <c r="EQ492" s="68"/>
      <c r="ER492" s="68"/>
      <c r="ES492" s="68"/>
      <c r="ET492" s="68"/>
      <c r="EU492" s="68"/>
      <c r="EV492" s="68"/>
      <c r="EW492" s="68"/>
      <c r="EX492" s="68"/>
      <c r="EY492" s="68"/>
      <c r="EZ492" s="68"/>
      <c r="FA492" s="68"/>
      <c r="FB492" s="68"/>
      <c r="FC492" s="68"/>
      <c r="FD492" s="68"/>
      <c r="FE492" s="68"/>
      <c r="FF492" s="68"/>
      <c r="FG492" s="68"/>
      <c r="FH492" s="68"/>
      <c r="FI492" s="68"/>
      <c r="FJ492" s="68"/>
      <c r="FK492" s="68"/>
      <c r="FL492" s="68"/>
      <c r="FM492" s="68"/>
      <c r="FN492" s="68"/>
      <c r="FO492" s="68"/>
      <c r="FP492" s="68"/>
      <c r="FQ492" s="68"/>
      <c r="FR492" s="68"/>
      <c r="FS492" s="68"/>
      <c r="FT492" s="68"/>
      <c r="FU492" s="68"/>
      <c r="FV492" s="68"/>
      <c r="FW492" s="68"/>
      <c r="FX492" s="68"/>
      <c r="FY492" s="68"/>
      <c r="FZ492" s="68"/>
      <c r="GA492" s="68"/>
      <c r="GB492" s="68"/>
      <c r="GC492" s="68"/>
      <c r="GD492" s="68"/>
      <c r="GE492" s="68"/>
      <c r="GF492" s="68"/>
      <c r="GG492" s="68"/>
      <c r="GH492" s="68"/>
      <c r="GI492" s="68"/>
      <c r="GJ492" s="68"/>
      <c r="GK492" s="68"/>
      <c r="GL492" s="68"/>
      <c r="GM492" s="68"/>
      <c r="GN492" s="68"/>
      <c r="GO492" s="68"/>
      <c r="GP492" s="68"/>
      <c r="GQ492" s="68"/>
      <c r="GR492" s="68"/>
      <c r="GS492" s="68"/>
      <c r="GT492" s="68"/>
      <c r="GU492" s="68"/>
      <c r="GV492" s="68"/>
      <c r="GW492" s="68"/>
      <c r="GX492" s="68"/>
      <c r="GY492" s="68"/>
      <c r="GZ492" s="68"/>
      <c r="HA492" s="68"/>
      <c r="HB492" s="68"/>
      <c r="HC492" s="68"/>
      <c r="HD492" s="68"/>
      <c r="HE492" s="68"/>
      <c r="HF492" s="68"/>
      <c r="HG492" s="68"/>
      <c r="HH492" s="68"/>
      <c r="HI492" s="68"/>
      <c r="HJ492" s="68"/>
      <c r="HK492" s="68"/>
      <c r="HL492" s="68"/>
      <c r="HM492" s="68"/>
      <c r="HN492" s="68"/>
      <c r="HO492" s="68"/>
      <c r="HP492" s="68"/>
      <c r="HQ492" s="68"/>
      <c r="HR492" s="68"/>
      <c r="HS492" s="68"/>
      <c r="HT492" s="68"/>
      <c r="HU492" s="68"/>
      <c r="HV492" s="68"/>
      <c r="HW492" s="68"/>
      <c r="HX492" s="68"/>
      <c r="HY492" s="68"/>
      <c r="HZ492" s="68"/>
      <c r="IA492" s="68"/>
      <c r="IB492" s="68"/>
      <c r="IC492" s="68"/>
      <c r="ID492" s="68"/>
      <c r="IE492" s="68"/>
      <c r="IF492" s="68"/>
      <c r="IG492" s="68"/>
      <c r="IH492" s="68"/>
      <c r="II492" s="68"/>
      <c r="IJ492" s="68"/>
    </row>
    <row r="493" spans="1:244" x14ac:dyDescent="0.25">
      <c r="A493" s="18"/>
      <c r="B493" s="9"/>
      <c r="C493" s="15"/>
      <c r="D493" s="15"/>
      <c r="E493" s="15"/>
      <c r="F493" s="15"/>
      <c r="G493" s="15"/>
      <c r="H493" s="26"/>
      <c r="I493" s="26"/>
      <c r="J493" s="26"/>
      <c r="K493" s="26"/>
      <c r="L493" s="11"/>
    </row>
    <row r="494" spans="1:244" x14ac:dyDescent="0.25">
      <c r="A494" s="18"/>
      <c r="B494" s="9"/>
      <c r="C494" s="15"/>
      <c r="D494" s="15"/>
      <c r="E494" s="15"/>
      <c r="F494" s="15"/>
      <c r="G494" s="15"/>
      <c r="H494" s="15"/>
      <c r="I494" s="15"/>
      <c r="J494" s="15"/>
      <c r="K494" s="15"/>
    </row>
    <row r="495" spans="1:244" x14ac:dyDescent="0.25">
      <c r="A495" s="18"/>
      <c r="B495" s="7"/>
      <c r="C495" s="15"/>
      <c r="D495" s="15"/>
      <c r="E495" s="15"/>
      <c r="F495" s="15"/>
      <c r="G495" s="15"/>
      <c r="H495" s="15"/>
      <c r="I495" s="15"/>
      <c r="J495" s="15"/>
      <c r="K495" s="15"/>
    </row>
    <row r="496" spans="1:244" x14ac:dyDescent="0.25">
      <c r="A496" s="18"/>
      <c r="B496" s="7"/>
      <c r="C496" s="15"/>
      <c r="D496" s="15"/>
      <c r="E496" s="15"/>
      <c r="F496" s="15"/>
      <c r="G496" s="15"/>
      <c r="H496" s="15"/>
      <c r="I496" s="15"/>
      <c r="J496" s="15"/>
      <c r="K496" s="15"/>
    </row>
    <row r="497" spans="1:11" x14ac:dyDescent="0.25">
      <c r="A497" s="18"/>
      <c r="B497" s="7"/>
      <c r="C497" s="15"/>
      <c r="D497" s="15"/>
      <c r="E497" s="15"/>
      <c r="F497" s="15"/>
      <c r="G497" s="15"/>
      <c r="H497" s="15"/>
      <c r="I497" s="15"/>
      <c r="J497" s="15"/>
      <c r="K497" s="15"/>
    </row>
    <row r="498" spans="1:11" x14ac:dyDescent="0.25">
      <c r="A498" s="18"/>
      <c r="B498" s="7"/>
      <c r="C498" s="15"/>
      <c r="D498" s="15"/>
      <c r="E498" s="15"/>
      <c r="F498" s="15"/>
      <c r="G498" s="15"/>
      <c r="H498" s="15"/>
      <c r="I498" s="15"/>
      <c r="J498" s="15"/>
      <c r="K498" s="15"/>
    </row>
    <row r="499" spans="1:11" x14ac:dyDescent="0.25">
      <c r="A499" s="18"/>
      <c r="B499" s="7"/>
      <c r="C499" s="15"/>
      <c r="D499" s="15"/>
      <c r="E499" s="15"/>
      <c r="F499" s="15"/>
      <c r="G499" s="15"/>
      <c r="H499" s="15"/>
      <c r="I499" s="15"/>
      <c r="J499" s="15"/>
      <c r="K499" s="15"/>
    </row>
    <row r="500" spans="1:11" x14ac:dyDescent="0.25">
      <c r="A500" s="18"/>
      <c r="B500" s="7"/>
      <c r="C500" s="15"/>
      <c r="D500" s="15"/>
      <c r="E500" s="15"/>
      <c r="F500" s="15"/>
      <c r="G500" s="15"/>
      <c r="H500" s="15"/>
      <c r="I500" s="15"/>
      <c r="J500" s="15"/>
      <c r="K500" s="15"/>
    </row>
    <row r="501" spans="1:11" x14ac:dyDescent="0.25">
      <c r="A501" s="18"/>
      <c r="B501" s="7"/>
      <c r="C501" s="15"/>
      <c r="D501" s="15"/>
      <c r="E501" s="15"/>
      <c r="F501" s="15"/>
      <c r="G501" s="15"/>
      <c r="H501" s="15"/>
      <c r="I501" s="15"/>
      <c r="J501" s="15"/>
      <c r="K501" s="15"/>
    </row>
    <row r="502" spans="1:11" x14ac:dyDescent="0.25">
      <c r="A502" s="18"/>
      <c r="B502" s="7"/>
      <c r="C502" s="15"/>
      <c r="D502" s="15"/>
      <c r="E502" s="15"/>
      <c r="F502" s="15"/>
      <c r="G502" s="15"/>
      <c r="H502" s="15"/>
      <c r="I502" s="15"/>
      <c r="J502" s="15"/>
      <c r="K502" s="15"/>
    </row>
    <row r="503" spans="1:11" x14ac:dyDescent="0.25">
      <c r="A503" s="18"/>
      <c r="B503" s="7"/>
      <c r="C503" s="15"/>
      <c r="D503" s="15"/>
      <c r="E503" s="15"/>
      <c r="F503" s="15"/>
      <c r="G503" s="15"/>
      <c r="H503" s="15"/>
      <c r="I503" s="15"/>
      <c r="J503" s="15"/>
      <c r="K503" s="15"/>
    </row>
    <row r="504" spans="1:11" x14ac:dyDescent="0.25">
      <c r="A504" s="18"/>
      <c r="B504" s="7"/>
      <c r="C504" s="15"/>
      <c r="D504" s="15"/>
      <c r="E504" s="15"/>
      <c r="F504" s="15"/>
      <c r="G504" s="15"/>
      <c r="H504" s="15"/>
      <c r="I504" s="15"/>
      <c r="J504" s="15"/>
      <c r="K504" s="15"/>
    </row>
    <row r="505" spans="1:11" x14ac:dyDescent="0.25">
      <c r="A505" s="18"/>
      <c r="B505" s="7"/>
      <c r="C505" s="15"/>
      <c r="D505" s="15"/>
      <c r="E505" s="15"/>
      <c r="F505" s="15"/>
      <c r="G505" s="15"/>
      <c r="H505" s="15"/>
      <c r="I505" s="15"/>
      <c r="J505" s="15"/>
      <c r="K505" s="15"/>
    </row>
    <row r="506" spans="1:11" x14ac:dyDescent="0.25">
      <c r="A506" s="18"/>
      <c r="B506" s="7"/>
      <c r="C506" s="15"/>
      <c r="D506" s="15"/>
      <c r="E506" s="15"/>
      <c r="F506" s="15"/>
      <c r="G506" s="15"/>
      <c r="H506" s="15"/>
      <c r="I506" s="15"/>
      <c r="J506" s="15"/>
      <c r="K506" s="15"/>
    </row>
    <row r="507" spans="1:11" x14ac:dyDescent="0.25">
      <c r="A507" s="18"/>
      <c r="B507" s="7"/>
      <c r="C507" s="15"/>
      <c r="D507" s="15"/>
      <c r="E507" s="15"/>
      <c r="F507" s="15"/>
      <c r="G507" s="15"/>
      <c r="H507" s="15"/>
      <c r="I507" s="15"/>
      <c r="J507" s="15"/>
      <c r="K507" s="15"/>
    </row>
    <row r="508" spans="1:11" x14ac:dyDescent="0.25">
      <c r="A508" s="18"/>
      <c r="B508" s="7"/>
      <c r="C508" s="15"/>
      <c r="D508" s="15"/>
      <c r="E508" s="15"/>
      <c r="F508" s="15"/>
      <c r="G508" s="15"/>
      <c r="H508" s="15"/>
      <c r="I508" s="15"/>
      <c r="J508" s="15"/>
      <c r="K508" s="15"/>
    </row>
    <row r="509" spans="1:11" x14ac:dyDescent="0.25">
      <c r="A509" s="18"/>
      <c r="B509" s="7"/>
      <c r="C509" s="15"/>
      <c r="D509" s="15"/>
      <c r="E509" s="15"/>
      <c r="F509" s="15"/>
      <c r="G509" s="15"/>
      <c r="H509" s="15"/>
      <c r="I509" s="15"/>
      <c r="J509" s="15"/>
      <c r="K509" s="15"/>
    </row>
    <row r="510" spans="1:11" x14ac:dyDescent="0.25">
      <c r="A510" s="18"/>
      <c r="B510" s="7"/>
      <c r="C510" s="15"/>
      <c r="D510" s="15"/>
      <c r="E510" s="15"/>
      <c r="F510" s="15"/>
      <c r="G510" s="15"/>
      <c r="H510" s="15"/>
      <c r="I510" s="15"/>
      <c r="J510" s="15"/>
      <c r="K510" s="15"/>
    </row>
    <row r="511" spans="1:11" x14ac:dyDescent="0.25">
      <c r="A511" s="18"/>
      <c r="B511" s="7"/>
      <c r="C511" s="15"/>
      <c r="D511" s="15"/>
      <c r="E511" s="15"/>
      <c r="F511" s="15"/>
      <c r="G511" s="15"/>
      <c r="H511" s="15"/>
      <c r="I511" s="15"/>
      <c r="J511" s="15"/>
      <c r="K511" s="15"/>
    </row>
    <row r="512" spans="1:11" x14ac:dyDescent="0.25">
      <c r="A512" s="18"/>
      <c r="B512" s="7"/>
      <c r="C512" s="15"/>
      <c r="D512" s="15"/>
      <c r="E512" s="15"/>
      <c r="F512" s="15"/>
      <c r="G512" s="15"/>
      <c r="H512" s="15"/>
      <c r="I512" s="15"/>
      <c r="J512" s="15"/>
      <c r="K512" s="15"/>
    </row>
    <row r="513" spans="1:11" x14ac:dyDescent="0.25">
      <c r="A513" s="18"/>
      <c r="B513" s="7"/>
      <c r="C513" s="15"/>
      <c r="D513" s="15"/>
      <c r="E513" s="15"/>
      <c r="F513" s="15"/>
      <c r="G513" s="15"/>
      <c r="H513" s="15"/>
      <c r="I513" s="15"/>
      <c r="J513" s="15"/>
      <c r="K513" s="15"/>
    </row>
    <row r="514" spans="1:11" x14ac:dyDescent="0.25">
      <c r="A514" s="18"/>
      <c r="B514" s="7"/>
      <c r="C514" s="15"/>
      <c r="D514" s="15"/>
      <c r="E514" s="15"/>
      <c r="F514" s="15"/>
      <c r="G514" s="15"/>
      <c r="H514" s="15"/>
      <c r="I514" s="15"/>
      <c r="J514" s="15"/>
      <c r="K514" s="15"/>
    </row>
    <row r="515" spans="1:11" x14ac:dyDescent="0.25">
      <c r="A515" s="18"/>
      <c r="B515" s="7"/>
      <c r="C515" s="15"/>
      <c r="D515" s="15"/>
      <c r="E515" s="15"/>
      <c r="F515" s="15"/>
      <c r="G515" s="15"/>
      <c r="H515" s="15"/>
      <c r="I515" s="15"/>
      <c r="J515" s="15"/>
      <c r="K515" s="15"/>
    </row>
    <row r="516" spans="1:11" x14ac:dyDescent="0.25">
      <c r="A516" s="18"/>
      <c r="B516" s="7"/>
      <c r="C516" s="15"/>
      <c r="D516" s="15"/>
      <c r="E516" s="15"/>
      <c r="F516" s="15"/>
      <c r="G516" s="15"/>
      <c r="H516" s="15"/>
      <c r="I516" s="15"/>
      <c r="J516" s="15"/>
      <c r="K516" s="15"/>
    </row>
    <row r="517" spans="1:11" x14ac:dyDescent="0.25">
      <c r="A517" s="18"/>
      <c r="B517" s="7"/>
      <c r="C517" s="15"/>
      <c r="D517" s="15"/>
      <c r="E517" s="15"/>
      <c r="F517" s="15"/>
      <c r="G517" s="15"/>
      <c r="H517" s="15"/>
      <c r="I517" s="15"/>
      <c r="J517" s="15"/>
      <c r="K517" s="15"/>
    </row>
    <row r="518" spans="1:11" x14ac:dyDescent="0.25">
      <c r="A518" s="18"/>
      <c r="B518" s="7"/>
      <c r="C518" s="15"/>
      <c r="D518" s="15"/>
      <c r="E518" s="15"/>
      <c r="F518" s="15"/>
      <c r="G518" s="15"/>
      <c r="H518" s="15"/>
      <c r="I518" s="15"/>
      <c r="J518" s="15"/>
      <c r="K518" s="15"/>
    </row>
    <row r="519" spans="1:11" x14ac:dyDescent="0.25">
      <c r="A519" s="18"/>
      <c r="B519" s="7"/>
      <c r="C519" s="15"/>
      <c r="D519" s="15"/>
      <c r="E519" s="15"/>
      <c r="F519" s="15"/>
      <c r="G519" s="15"/>
      <c r="H519" s="15"/>
      <c r="I519" s="15"/>
      <c r="J519" s="15"/>
      <c r="K519" s="15"/>
    </row>
    <row r="520" spans="1:11" x14ac:dyDescent="0.25">
      <c r="A520" s="18"/>
      <c r="B520" s="7"/>
      <c r="C520" s="15"/>
      <c r="D520" s="15"/>
      <c r="E520" s="15"/>
      <c r="F520" s="15"/>
      <c r="G520" s="15"/>
      <c r="H520" s="15"/>
      <c r="I520" s="15"/>
      <c r="J520" s="15"/>
      <c r="K520" s="15"/>
    </row>
    <row r="521" spans="1:11" x14ac:dyDescent="0.25">
      <c r="A521" s="18"/>
      <c r="B521" s="7"/>
      <c r="C521" s="15"/>
      <c r="D521" s="15"/>
      <c r="E521" s="15"/>
      <c r="F521" s="15"/>
      <c r="G521" s="15"/>
      <c r="H521" s="15"/>
      <c r="I521" s="15"/>
      <c r="J521" s="15"/>
      <c r="K521" s="15"/>
    </row>
    <row r="522" spans="1:11" x14ac:dyDescent="0.25">
      <c r="A522" s="18"/>
      <c r="B522" s="7"/>
      <c r="C522" s="15"/>
      <c r="D522" s="15"/>
      <c r="E522" s="15"/>
      <c r="F522" s="15"/>
      <c r="G522" s="15"/>
      <c r="H522" s="15"/>
      <c r="I522" s="15"/>
      <c r="J522" s="15"/>
      <c r="K522" s="15"/>
    </row>
    <row r="523" spans="1:11" x14ac:dyDescent="0.25">
      <c r="A523" s="18"/>
      <c r="B523" s="7"/>
      <c r="C523" s="15"/>
      <c r="D523" s="15"/>
      <c r="E523" s="15"/>
      <c r="F523" s="15"/>
      <c r="G523" s="15"/>
      <c r="H523" s="15"/>
      <c r="I523" s="15"/>
      <c r="J523" s="15"/>
      <c r="K523" s="15"/>
    </row>
    <row r="524" spans="1:11" x14ac:dyDescent="0.25">
      <c r="A524" s="18"/>
      <c r="B524" s="7"/>
      <c r="C524" s="15"/>
      <c r="D524" s="15"/>
      <c r="E524" s="15"/>
      <c r="F524" s="15"/>
      <c r="G524" s="15"/>
      <c r="H524" s="15"/>
      <c r="I524" s="15"/>
      <c r="J524" s="15"/>
      <c r="K524" s="15"/>
    </row>
    <row r="525" spans="1:11" x14ac:dyDescent="0.25">
      <c r="A525" s="18"/>
      <c r="B525" s="7"/>
      <c r="C525" s="15"/>
      <c r="D525" s="15"/>
      <c r="E525" s="15"/>
      <c r="F525" s="15"/>
      <c r="G525" s="15"/>
      <c r="H525" s="15"/>
      <c r="I525" s="15"/>
      <c r="J525" s="15"/>
      <c r="K525" s="15"/>
    </row>
    <row r="526" spans="1:11" x14ac:dyDescent="0.25">
      <c r="A526" s="18"/>
      <c r="B526" s="7"/>
      <c r="C526" s="15"/>
      <c r="D526" s="15"/>
      <c r="E526" s="15"/>
      <c r="F526" s="15"/>
      <c r="G526" s="15"/>
      <c r="H526" s="15"/>
      <c r="I526" s="15"/>
      <c r="J526" s="15"/>
      <c r="K526" s="15"/>
    </row>
    <row r="527" spans="1:11" x14ac:dyDescent="0.25">
      <c r="A527" s="18"/>
      <c r="B527" s="7"/>
      <c r="C527" s="15"/>
      <c r="D527" s="15"/>
      <c r="E527" s="15"/>
      <c r="F527" s="15"/>
      <c r="G527" s="15"/>
      <c r="H527" s="15"/>
      <c r="I527" s="15"/>
      <c r="J527" s="15"/>
      <c r="K527" s="15"/>
    </row>
    <row r="528" spans="1:11" x14ac:dyDescent="0.25">
      <c r="A528" s="18"/>
      <c r="B528" s="7"/>
      <c r="C528" s="15"/>
      <c r="D528" s="15"/>
      <c r="E528" s="15"/>
      <c r="F528" s="15"/>
      <c r="G528" s="15"/>
      <c r="H528" s="15"/>
      <c r="I528" s="15"/>
      <c r="J528" s="15"/>
      <c r="K528" s="15"/>
    </row>
    <row r="529" spans="1:11" x14ac:dyDescent="0.25">
      <c r="A529" s="18"/>
      <c r="B529" s="7"/>
      <c r="C529" s="15"/>
      <c r="D529" s="15"/>
      <c r="E529" s="15"/>
      <c r="F529" s="15"/>
      <c r="G529" s="15"/>
      <c r="H529" s="15"/>
      <c r="I529" s="15"/>
      <c r="J529" s="15"/>
      <c r="K529" s="15"/>
    </row>
    <row r="530" spans="1:11" x14ac:dyDescent="0.25">
      <c r="A530" s="18"/>
      <c r="B530" s="7"/>
      <c r="C530" s="15"/>
      <c r="D530" s="15"/>
      <c r="E530" s="15"/>
      <c r="F530" s="15"/>
      <c r="G530" s="15"/>
      <c r="H530" s="15"/>
      <c r="I530" s="15"/>
      <c r="J530" s="15"/>
      <c r="K530" s="15"/>
    </row>
    <row r="531" spans="1:11" x14ac:dyDescent="0.25">
      <c r="A531" s="18"/>
      <c r="B531" s="7"/>
      <c r="C531" s="15"/>
      <c r="D531" s="15"/>
      <c r="E531" s="15"/>
      <c r="F531" s="15"/>
      <c r="G531" s="15"/>
      <c r="H531" s="15"/>
      <c r="I531" s="15"/>
      <c r="J531" s="15"/>
      <c r="K531" s="15"/>
    </row>
    <row r="532" spans="1:11" x14ac:dyDescent="0.25">
      <c r="A532" s="18"/>
      <c r="B532" s="7"/>
      <c r="C532" s="15"/>
      <c r="D532" s="15"/>
      <c r="E532" s="15"/>
      <c r="F532" s="15"/>
      <c r="G532" s="15"/>
      <c r="H532" s="15"/>
      <c r="I532" s="15"/>
      <c r="J532" s="15"/>
      <c r="K532" s="15"/>
    </row>
    <row r="533" spans="1:11" x14ac:dyDescent="0.25">
      <c r="A533" s="18"/>
      <c r="B533" s="7"/>
      <c r="C533" s="15"/>
      <c r="D533" s="15"/>
      <c r="E533" s="15"/>
      <c r="F533" s="15"/>
      <c r="G533" s="15"/>
      <c r="H533" s="15"/>
      <c r="I533" s="15"/>
      <c r="J533" s="15"/>
      <c r="K533" s="15"/>
    </row>
    <row r="534" spans="1:11" x14ac:dyDescent="0.25">
      <c r="A534" s="18"/>
      <c r="B534" s="7"/>
      <c r="C534" s="15"/>
      <c r="D534" s="15"/>
      <c r="E534" s="15"/>
      <c r="F534" s="15"/>
      <c r="G534" s="15"/>
      <c r="H534" s="15"/>
      <c r="I534" s="15"/>
      <c r="J534" s="15"/>
      <c r="K534" s="15"/>
    </row>
    <row r="535" spans="1:11" x14ac:dyDescent="0.25">
      <c r="A535" s="18"/>
      <c r="B535" s="7"/>
      <c r="C535" s="15"/>
      <c r="D535" s="15"/>
      <c r="E535" s="15"/>
      <c r="F535" s="15"/>
      <c r="G535" s="15"/>
      <c r="H535" s="15"/>
      <c r="I535" s="15"/>
      <c r="J535" s="15"/>
      <c r="K535" s="15"/>
    </row>
    <row r="536" spans="1:11" x14ac:dyDescent="0.25">
      <c r="A536" s="18"/>
      <c r="B536" s="7"/>
      <c r="C536" s="15"/>
      <c r="D536" s="15"/>
      <c r="E536" s="15"/>
      <c r="F536" s="15"/>
      <c r="G536" s="15"/>
      <c r="H536" s="15"/>
      <c r="I536" s="15"/>
      <c r="J536" s="15"/>
      <c r="K536" s="15"/>
    </row>
    <row r="537" spans="1:11" x14ac:dyDescent="0.25">
      <c r="A537" s="18"/>
      <c r="B537" s="7"/>
      <c r="C537" s="15"/>
      <c r="D537" s="15"/>
      <c r="E537" s="15"/>
      <c r="F537" s="15"/>
      <c r="G537" s="15"/>
      <c r="H537" s="15"/>
      <c r="I537" s="15"/>
      <c r="J537" s="15"/>
      <c r="K537" s="15"/>
    </row>
    <row r="538" spans="1:11" x14ac:dyDescent="0.25">
      <c r="A538" s="18"/>
      <c r="B538" s="7"/>
      <c r="C538" s="15"/>
      <c r="D538" s="15"/>
      <c r="E538" s="15"/>
      <c r="F538" s="15"/>
      <c r="G538" s="15"/>
      <c r="H538" s="15"/>
      <c r="I538" s="15"/>
      <c r="J538" s="15"/>
      <c r="K538" s="15"/>
    </row>
    <row r="539" spans="1:11" x14ac:dyDescent="0.25">
      <c r="A539" s="18"/>
      <c r="B539" s="7"/>
      <c r="C539" s="15"/>
      <c r="D539" s="15"/>
      <c r="E539" s="15"/>
      <c r="F539" s="15"/>
      <c r="G539" s="15"/>
      <c r="H539" s="15"/>
      <c r="I539" s="15"/>
      <c r="J539" s="15"/>
      <c r="K539" s="15"/>
    </row>
    <row r="540" spans="1:11" x14ac:dyDescent="0.25">
      <c r="A540" s="18"/>
      <c r="B540" s="7"/>
      <c r="C540" s="15"/>
      <c r="D540" s="15"/>
      <c r="E540" s="15"/>
      <c r="F540" s="15"/>
      <c r="G540" s="15"/>
      <c r="H540" s="15"/>
      <c r="I540" s="15"/>
      <c r="J540" s="15"/>
      <c r="K540" s="15"/>
    </row>
    <row r="541" spans="1:11" x14ac:dyDescent="0.25">
      <c r="A541" s="18"/>
      <c r="B541" s="7"/>
      <c r="C541" s="15"/>
      <c r="D541" s="15"/>
      <c r="E541" s="15"/>
      <c r="F541" s="15"/>
      <c r="G541" s="15"/>
      <c r="H541" s="15"/>
      <c r="I541" s="15"/>
      <c r="J541" s="15"/>
      <c r="K541" s="15"/>
    </row>
    <row r="542" spans="1:11" x14ac:dyDescent="0.25">
      <c r="A542" s="18"/>
      <c r="B542" s="7"/>
      <c r="C542" s="15"/>
      <c r="D542" s="15"/>
      <c r="E542" s="15"/>
      <c r="F542" s="15"/>
      <c r="G542" s="15"/>
      <c r="H542" s="15"/>
      <c r="I542" s="15"/>
      <c r="J542" s="15"/>
      <c r="K542" s="15"/>
    </row>
    <row r="543" spans="1:11" x14ac:dyDescent="0.25">
      <c r="A543" s="18"/>
    </row>
    <row r="544" spans="1:11" x14ac:dyDescent="0.25">
      <c r="A544" s="18"/>
    </row>
  </sheetData>
  <mergeCells count="3">
    <mergeCell ref="B378:E378"/>
    <mergeCell ref="A24:L24"/>
    <mergeCell ref="A1:L1"/>
  </mergeCells>
  <phoneticPr fontId="0" type="noConversion"/>
  <printOptions horizontalCentered="1" gridLines="1"/>
  <pageMargins left="0.59055118110236227" right="0.19685039370078741" top="0.98425196850393704" bottom="0.98425196850393704" header="0.51181102362204722" footer="0.51181102362204722"/>
  <pageSetup paperSize="9" scale="62" fitToHeight="0" orientation="portrait" r:id="rId1"/>
  <headerFooter alignWithMargins="0">
    <oddHeader>&amp;L&amp;"Arial CE,Tučné"Stavba: &amp;"Arial CE,Obyčejné"ZS Popovice
&amp;"Arial CE,Tučné"Soubor: &amp;"Arial CE,Obyčejné"Modernizace chlazení ZS&amp;R&amp;"Arial CE,Tučné"List  :&amp;"Arial CE,Obyčejné" &amp;P
&amp;"Arial CE,Tučné"Listů:&amp;"Arial CE,Obyčejné" &amp;N</oddHeader>
    <oddFooter>&amp;L&amp;"Arial CE,Tučné"Datum:&amp;"Arial CE,Obyčejné" 04.2019&amp;C&amp;"Arial CE,Tučné"Vypracoval:&amp;"Arial CE,Obyčejné" Ing. M. Mikyna&amp;R&amp;"Arial CE,Tučné"&amp;12 4-06-119-SR Položkový</oddFooter>
  </headerFooter>
  <rowBreaks count="5" manualBreakCount="5">
    <brk id="148" max="11" man="1"/>
    <brk id="375" max="11" man="1"/>
    <brk id="412" max="11" man="1"/>
    <brk id="431" max="11" man="1"/>
    <brk id="46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Kalkulace</vt:lpstr>
      <vt:lpstr>Kalkulace!Názvy_tisku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Mikyna Miroslav</dc:creator>
  <cp:lastModifiedBy>Ing. Pavla Hošková</cp:lastModifiedBy>
  <cp:lastPrinted>2020-02-28T13:00:06Z</cp:lastPrinted>
  <dcterms:created xsi:type="dcterms:W3CDTF">2000-04-12T12:33:34Z</dcterms:created>
  <dcterms:modified xsi:type="dcterms:W3CDTF">2020-03-04T12:46:49Z</dcterms:modified>
</cp:coreProperties>
</file>